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comments8.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28515" windowHeight="12585" tabRatio="601" activeTab="11"/>
  </bookViews>
  <sheets>
    <sheet name="Registres" sheetId="1" r:id="rId1"/>
    <sheet name="CONFIG " sheetId="5" r:id="rId2"/>
    <sheet name="ADC Convert" sheetId="9" r:id="rId3"/>
    <sheet name="Full Scale" sheetId="13" r:id="rId4"/>
    <sheet name="PGA Scale" sheetId="17" r:id="rId5"/>
    <sheet name="Picaxe Forum1" sheetId="2" r:id="rId6"/>
    <sheet name="TMP37" sheetId="8" r:id="rId7"/>
    <sheet name="TMP36" sheetId="10" r:id="rId8"/>
    <sheet name="Compl2_0" sheetId="15" r:id="rId9"/>
    <sheet name="Compl2_1" sheetId="11" r:id="rId10"/>
    <sheet name="Compl2_2" sheetId="12" r:id="rId11"/>
    <sheet name="16bits" sheetId="20" r:id="rId12"/>
    <sheet name="Draw1" sheetId="18" state="hidden" r:id="rId13"/>
    <sheet name="Draw2" sheetId="19" state="hidden" r:id="rId14"/>
  </sheets>
  <definedNames>
    <definedName name="_xlnm.Print_Area" localSheetId="2">'ADC Convert'!$B$1:$J$35</definedName>
    <definedName name="_xlnm.Print_Area" localSheetId="1">'CONFIG '!$B:$T</definedName>
    <definedName name="_xlnm.Print_Area" localSheetId="6">'TMP37'!$A$1:$BG$78</definedName>
  </definedNames>
  <calcPr calcId="145621"/>
</workbook>
</file>

<file path=xl/calcChain.xml><?xml version="1.0" encoding="utf-8"?>
<calcChain xmlns="http://schemas.openxmlformats.org/spreadsheetml/2006/main">
  <c r="I12" i="10" l="1"/>
  <c r="J12"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AN12" i="10"/>
  <c r="AO12" i="10"/>
  <c r="AP12" i="10"/>
  <c r="AQ12" i="10"/>
  <c r="AR12" i="10"/>
  <c r="AS12" i="10"/>
  <c r="AT12" i="10"/>
  <c r="AU12" i="10"/>
  <c r="AV12" i="10"/>
  <c r="AW12" i="10"/>
  <c r="AX12" i="10"/>
  <c r="AY12" i="10"/>
  <c r="AZ12" i="10"/>
  <c r="BA12" i="10"/>
  <c r="BB12" i="10"/>
  <c r="BC12" i="10"/>
  <c r="BD12" i="10"/>
  <c r="BE12" i="10"/>
  <c r="BF12" i="10"/>
  <c r="BG12" i="10"/>
  <c r="BH12" i="10"/>
  <c r="BI12" i="10"/>
  <c r="BJ12" i="10"/>
  <c r="BK12" i="10"/>
  <c r="BL12" i="10"/>
  <c r="BM12" i="10"/>
  <c r="BN12" i="10"/>
  <c r="BO12" i="10"/>
  <c r="BP12" i="10"/>
  <c r="BQ12" i="10"/>
  <c r="BR12" i="10"/>
  <c r="BS12" i="10"/>
  <c r="BT12" i="10"/>
  <c r="BU12" i="10"/>
  <c r="BV12" i="10"/>
  <c r="BW12" i="10"/>
  <c r="BX12" i="10"/>
  <c r="BY12" i="10"/>
  <c r="BZ12" i="10"/>
  <c r="CA12" i="10"/>
  <c r="CB12" i="10"/>
  <c r="CC12" i="10"/>
  <c r="CD12" i="10"/>
  <c r="CE12" i="10"/>
  <c r="CF12" i="10"/>
  <c r="CG12" i="10"/>
  <c r="CH12" i="10"/>
  <c r="CI12" i="10"/>
  <c r="CJ12" i="10"/>
  <c r="CK12" i="10"/>
  <c r="CL12" i="10"/>
  <c r="CM12" i="10"/>
  <c r="CN12" i="10"/>
  <c r="CO12" i="10"/>
  <c r="CP12" i="10"/>
  <c r="CQ12" i="10"/>
  <c r="CR12" i="10"/>
  <c r="CS12" i="10"/>
  <c r="CT12" i="10"/>
  <c r="CU12" i="10"/>
  <c r="CV12" i="10"/>
  <c r="CW12" i="10"/>
  <c r="CX12" i="10"/>
  <c r="CY12" i="10"/>
  <c r="CZ12" i="10"/>
  <c r="DA12" i="10"/>
  <c r="DB12" i="10"/>
  <c r="DC12" i="10"/>
  <c r="DD12" i="10"/>
  <c r="DE12" i="10"/>
  <c r="DF12" i="10"/>
  <c r="DG12" i="10"/>
  <c r="DH12" i="10"/>
  <c r="DI12" i="10"/>
  <c r="DJ12" i="10"/>
  <c r="DK12" i="10"/>
  <c r="DL12" i="10"/>
  <c r="DM12" i="10"/>
  <c r="DN12" i="10"/>
  <c r="DO12" i="10"/>
  <c r="DP12" i="10"/>
  <c r="DQ12" i="10"/>
  <c r="DR12" i="10"/>
  <c r="DS12" i="10"/>
  <c r="DT12" i="10"/>
  <c r="DU12" i="10"/>
  <c r="DV12" i="10"/>
  <c r="DW12" i="10"/>
  <c r="DX12" i="10"/>
  <c r="DY12" i="10"/>
  <c r="DZ12" i="10"/>
  <c r="EA12" i="10"/>
  <c r="EB12" i="10"/>
  <c r="EC12" i="10"/>
  <c r="ED12" i="10"/>
  <c r="EE12" i="10"/>
  <c r="EF12" i="10"/>
  <c r="EG12" i="10"/>
  <c r="EH12" i="10"/>
  <c r="EI12" i="10"/>
  <c r="EJ12" i="10"/>
  <c r="EK12" i="10"/>
  <c r="EL12" i="10"/>
  <c r="EM12" i="10"/>
  <c r="EN12" i="10"/>
  <c r="EO12" i="10"/>
  <c r="EP12" i="10"/>
  <c r="EQ12" i="10"/>
  <c r="ER12" i="10"/>
  <c r="ES12" i="10"/>
  <c r="ET12" i="10"/>
  <c r="EU12" i="10"/>
  <c r="EV12" i="10"/>
  <c r="EW12" i="10"/>
  <c r="EX12" i="10"/>
  <c r="EY12" i="10"/>
  <c r="EZ12" i="10"/>
  <c r="FA12" i="10"/>
  <c r="FB12" i="10"/>
  <c r="FC12" i="10"/>
  <c r="FD12" i="10"/>
  <c r="FE12" i="10"/>
  <c r="FF12" i="10"/>
  <c r="FG12" i="10"/>
  <c r="FH12" i="10"/>
  <c r="FI12" i="10"/>
  <c r="FJ12" i="10"/>
  <c r="FK12" i="10"/>
  <c r="FL12" i="10"/>
  <c r="FM12" i="10"/>
  <c r="FN12" i="10"/>
  <c r="FO12" i="10"/>
  <c r="FP12" i="10"/>
  <c r="FQ12" i="10"/>
  <c r="FR12" i="10"/>
  <c r="I11" i="10"/>
  <c r="FR7" i="10"/>
  <c r="E9" i="8" l="1"/>
  <c r="E8" i="8"/>
  <c r="F34" i="17"/>
  <c r="F33" i="17"/>
  <c r="F32" i="17"/>
  <c r="F31" i="17"/>
  <c r="F30" i="17"/>
  <c r="F29" i="17"/>
  <c r="I16" i="9"/>
  <c r="I15" i="9"/>
  <c r="I14" i="9"/>
  <c r="I13" i="9"/>
  <c r="I12" i="9"/>
  <c r="I11" i="9"/>
  <c r="E88" i="1"/>
  <c r="E87" i="1"/>
  <c r="E86" i="1"/>
  <c r="E85" i="1"/>
  <c r="E84" i="1"/>
  <c r="E83" i="1"/>
  <c r="F57" i="9"/>
  <c r="F28" i="9"/>
  <c r="F55" i="9"/>
  <c r="E26" i="9"/>
  <c r="F54" i="9"/>
  <c r="F20" i="9"/>
  <c r="D52" i="9"/>
  <c r="V7" i="15"/>
  <c r="E10" i="20"/>
  <c r="D6" i="15"/>
  <c r="E7" i="20"/>
  <c r="G7" i="20" s="1"/>
  <c r="G5" i="20" s="1"/>
  <c r="D24" i="9" l="1"/>
  <c r="H7" i="20"/>
  <c r="H5" i="20" s="1"/>
  <c r="I5" i="20" s="1"/>
  <c r="C15" i="20"/>
  <c r="G9" i="17"/>
  <c r="G11" i="17" s="1"/>
  <c r="F9" i="17"/>
  <c r="F11" i="17" s="1"/>
  <c r="A28" i="17"/>
  <c r="A29" i="17"/>
  <c r="A30" i="17"/>
  <c r="A32" i="17"/>
  <c r="A33" i="17"/>
  <c r="A34" i="17"/>
  <c r="A31" i="17"/>
  <c r="P30" i="17"/>
  <c r="P31" i="17" s="1"/>
  <c r="Q31" i="17" s="1"/>
  <c r="E15" i="20"/>
  <c r="C16" i="20" l="1"/>
  <c r="G34" i="17"/>
  <c r="H34" i="17" s="1"/>
  <c r="G33" i="17"/>
  <c r="H33" i="17" s="1"/>
  <c r="G32" i="17"/>
  <c r="H32" i="17" s="1"/>
  <c r="G31" i="17"/>
  <c r="H31" i="17" s="1"/>
  <c r="G30" i="17"/>
  <c r="H30" i="17" s="1"/>
  <c r="H5" i="17"/>
  <c r="J5" i="17" s="1"/>
  <c r="H4" i="17"/>
  <c r="I4" i="17" s="1"/>
  <c r="J4" i="17" s="1"/>
  <c r="G29" i="17" l="1"/>
  <c r="H29" i="17" s="1"/>
  <c r="J7" i="17"/>
  <c r="H12" i="17" s="1"/>
  <c r="I12" i="17" l="1"/>
  <c r="F14" i="17"/>
  <c r="E20" i="17" s="1"/>
  <c r="G14" i="17"/>
  <c r="G11" i="9"/>
  <c r="G12" i="9"/>
  <c r="F11" i="9"/>
  <c r="G16" i="17" l="1"/>
  <c r="G18" i="17"/>
  <c r="F16" i="17"/>
  <c r="F18" i="17"/>
  <c r="M4" i="15"/>
  <c r="D4" i="15"/>
  <c r="W7" i="15" s="1"/>
  <c r="K10" i="15"/>
  <c r="J10" i="15"/>
  <c r="I10" i="15"/>
  <c r="H10" i="15"/>
  <c r="G10" i="15"/>
  <c r="F10" i="15"/>
  <c r="E10" i="15"/>
  <c r="D10" i="15"/>
  <c r="X20" i="15"/>
  <c r="Y20" i="15" s="1"/>
  <c r="X21" i="15"/>
  <c r="Y21" i="15" s="1"/>
  <c r="X22" i="15"/>
  <c r="Y22" i="15" s="1"/>
  <c r="X23" i="15"/>
  <c r="Y23" i="15" s="1"/>
  <c r="X24" i="15"/>
  <c r="Y24" i="15" s="1"/>
  <c r="X25" i="15"/>
  <c r="Y25" i="15" s="1"/>
  <c r="X26" i="15"/>
  <c r="Y26" i="15" s="1"/>
  <c r="X27" i="15"/>
  <c r="Y27" i="15" s="1"/>
  <c r="X28" i="15"/>
  <c r="Y28" i="15" s="1"/>
  <c r="X29" i="15"/>
  <c r="Y29" i="15" s="1"/>
  <c r="X30" i="15"/>
  <c r="Y30" i="15" s="1"/>
  <c r="X31" i="15"/>
  <c r="Y31" i="15" s="1"/>
  <c r="X32" i="15"/>
  <c r="Y32" i="15" s="1"/>
  <c r="X33" i="15"/>
  <c r="Y33" i="15" s="1"/>
  <c r="X34" i="15"/>
  <c r="Y34" i="15" s="1"/>
  <c r="X35" i="15"/>
  <c r="Y35" i="15" s="1"/>
  <c r="X36" i="15"/>
  <c r="Y36" i="15" s="1"/>
  <c r="X37" i="15"/>
  <c r="Y37" i="15" s="1"/>
  <c r="X38" i="15"/>
  <c r="Y38" i="15" s="1"/>
  <c r="X39" i="15"/>
  <c r="Y39" i="15" s="1"/>
  <c r="X40" i="15"/>
  <c r="Y40" i="15" s="1"/>
  <c r="X41" i="15"/>
  <c r="Y41" i="15" s="1"/>
  <c r="X42" i="15"/>
  <c r="Y42" i="15" s="1"/>
  <c r="X43" i="15"/>
  <c r="Y43" i="15" s="1"/>
  <c r="X44" i="15"/>
  <c r="Y44" i="15" s="1"/>
  <c r="X45" i="15"/>
  <c r="Y45" i="15" s="1"/>
  <c r="X46" i="15"/>
  <c r="Y46" i="15" s="1"/>
  <c r="X47" i="15"/>
  <c r="Y47" i="15" s="1"/>
  <c r="X48" i="15"/>
  <c r="Y48" i="15" s="1"/>
  <c r="X49" i="15"/>
  <c r="Y49" i="15" s="1"/>
  <c r="X50" i="15"/>
  <c r="Y50" i="15" s="1"/>
  <c r="X51" i="15"/>
  <c r="Y51" i="15" s="1"/>
  <c r="X52" i="15"/>
  <c r="Y52" i="15" s="1"/>
  <c r="X53" i="15"/>
  <c r="Y53" i="15" s="1"/>
  <c r="X54" i="15"/>
  <c r="Y54" i="15" s="1"/>
  <c r="X55" i="15"/>
  <c r="Y55" i="15" s="1"/>
  <c r="X56" i="15"/>
  <c r="Y56" i="15" s="1"/>
  <c r="X57" i="15"/>
  <c r="Y57" i="15" s="1"/>
  <c r="X58" i="15"/>
  <c r="Y58" i="15" s="1"/>
  <c r="X59" i="15"/>
  <c r="Y59" i="15" s="1"/>
  <c r="X60" i="15"/>
  <c r="Y60" i="15" s="1"/>
  <c r="X61" i="15"/>
  <c r="Y61" i="15" s="1"/>
  <c r="X62" i="15"/>
  <c r="Y62" i="15" s="1"/>
  <c r="X63" i="15"/>
  <c r="Y63" i="15" s="1"/>
  <c r="X64" i="15"/>
  <c r="Y64" i="15" s="1"/>
  <c r="X65" i="15"/>
  <c r="Y65" i="15" s="1"/>
  <c r="X66" i="15"/>
  <c r="Y66" i="15" s="1"/>
  <c r="X67" i="15"/>
  <c r="Y67" i="15" s="1"/>
  <c r="X68" i="15"/>
  <c r="Y68" i="15" s="1"/>
  <c r="X69" i="15"/>
  <c r="Y69" i="15" s="1"/>
  <c r="X70" i="15"/>
  <c r="Y70" i="15" s="1"/>
  <c r="X71" i="15"/>
  <c r="Y71" i="15" s="1"/>
  <c r="X72" i="15"/>
  <c r="Y72" i="15" s="1"/>
  <c r="X73" i="15"/>
  <c r="Y73" i="15" s="1"/>
  <c r="X74" i="15"/>
  <c r="Y74" i="15" s="1"/>
  <c r="X75" i="15"/>
  <c r="Y75" i="15" s="1"/>
  <c r="X76" i="15"/>
  <c r="Y76" i="15" s="1"/>
  <c r="X77" i="15"/>
  <c r="Y77" i="15" s="1"/>
  <c r="X78" i="15"/>
  <c r="Y78" i="15" s="1"/>
  <c r="X79" i="15"/>
  <c r="Y79" i="15" s="1"/>
  <c r="X80" i="15"/>
  <c r="Y80" i="15" s="1"/>
  <c r="X81" i="15"/>
  <c r="Y81" i="15" s="1"/>
  <c r="X82" i="15"/>
  <c r="Y82" i="15" s="1"/>
  <c r="X83" i="15"/>
  <c r="Y83" i="15" s="1"/>
  <c r="X84" i="15"/>
  <c r="Y84" i="15" s="1"/>
  <c r="X85" i="15"/>
  <c r="Y85" i="15" s="1"/>
  <c r="X86" i="15"/>
  <c r="Y86" i="15" s="1"/>
  <c r="X87" i="15"/>
  <c r="Y87" i="15" s="1"/>
  <c r="X88" i="15"/>
  <c r="Y88" i="15" s="1"/>
  <c r="X89" i="15"/>
  <c r="Y89" i="15" s="1"/>
  <c r="X90" i="15"/>
  <c r="Y90" i="15" s="1"/>
  <c r="X91" i="15"/>
  <c r="Y91" i="15" s="1"/>
  <c r="X92" i="15"/>
  <c r="Y92" i="15" s="1"/>
  <c r="X93" i="15"/>
  <c r="Y93" i="15" s="1"/>
  <c r="X94" i="15"/>
  <c r="Y94" i="15" s="1"/>
  <c r="X95" i="15"/>
  <c r="Y95" i="15" s="1"/>
  <c r="X96" i="15"/>
  <c r="Y96" i="15" s="1"/>
  <c r="X97" i="15"/>
  <c r="Y97" i="15" s="1"/>
  <c r="X98" i="15"/>
  <c r="Y98" i="15" s="1"/>
  <c r="X99" i="15"/>
  <c r="Y99" i="15" s="1"/>
  <c r="X100" i="15"/>
  <c r="Y100" i="15" s="1"/>
  <c r="X101" i="15"/>
  <c r="Y101" i="15" s="1"/>
  <c r="X102" i="15"/>
  <c r="Y102" i="15" s="1"/>
  <c r="X103" i="15"/>
  <c r="Y103" i="15" s="1"/>
  <c r="X104" i="15"/>
  <c r="Y104" i="15" s="1"/>
  <c r="X105" i="15"/>
  <c r="Y105" i="15" s="1"/>
  <c r="X106" i="15"/>
  <c r="Y106" i="15" s="1"/>
  <c r="X107" i="15"/>
  <c r="Y107" i="15" s="1"/>
  <c r="X108" i="15"/>
  <c r="Y108" i="15" s="1"/>
  <c r="X109" i="15"/>
  <c r="Y109" i="15" s="1"/>
  <c r="X110" i="15"/>
  <c r="Y110" i="15" s="1"/>
  <c r="X111" i="15"/>
  <c r="Y111" i="15" s="1"/>
  <c r="X112" i="15"/>
  <c r="Y112" i="15" s="1"/>
  <c r="X113" i="15"/>
  <c r="Y113" i="15" s="1"/>
  <c r="X114" i="15"/>
  <c r="Y114" i="15" s="1"/>
  <c r="X115" i="15"/>
  <c r="Y115" i="15" s="1"/>
  <c r="X116" i="15"/>
  <c r="Y116" i="15" s="1"/>
  <c r="X117" i="15"/>
  <c r="Y117" i="15" s="1"/>
  <c r="X118" i="15"/>
  <c r="Y118" i="15" s="1"/>
  <c r="X119" i="15"/>
  <c r="Y119" i="15" s="1"/>
  <c r="X120" i="15"/>
  <c r="Y120" i="15" s="1"/>
  <c r="X121" i="15"/>
  <c r="Y121" i="15" s="1"/>
  <c r="X122" i="15"/>
  <c r="Y122" i="15" s="1"/>
  <c r="X123" i="15"/>
  <c r="Y123" i="15" s="1"/>
  <c r="X124" i="15"/>
  <c r="Y124" i="15" s="1"/>
  <c r="X125" i="15"/>
  <c r="Y125" i="15" s="1"/>
  <c r="X126" i="15"/>
  <c r="Y126" i="15" s="1"/>
  <c r="X127" i="15"/>
  <c r="Y127" i="15" s="1"/>
  <c r="X128" i="15"/>
  <c r="Y128" i="15" s="1"/>
  <c r="X129" i="15"/>
  <c r="Y129" i="15" s="1"/>
  <c r="X130" i="15"/>
  <c r="Y130" i="15" s="1"/>
  <c r="X131" i="15"/>
  <c r="Y131" i="15" s="1"/>
  <c r="X132" i="15"/>
  <c r="Y132" i="15" s="1"/>
  <c r="X133" i="15"/>
  <c r="Y133" i="15" s="1"/>
  <c r="X134" i="15"/>
  <c r="Y134" i="15" s="1"/>
  <c r="X135" i="15"/>
  <c r="Y135" i="15" s="1"/>
  <c r="X136" i="15"/>
  <c r="Y136" i="15" s="1"/>
  <c r="X137" i="15"/>
  <c r="Y137" i="15" s="1"/>
  <c r="X138" i="15"/>
  <c r="Y138" i="15" s="1"/>
  <c r="X139" i="15"/>
  <c r="Y139" i="15" s="1"/>
  <c r="X140" i="15"/>
  <c r="Y140" i="15" s="1"/>
  <c r="X141" i="15"/>
  <c r="Y141" i="15" s="1"/>
  <c r="X142" i="15"/>
  <c r="Y142" i="15" s="1"/>
  <c r="X143" i="15"/>
  <c r="Y143" i="15" s="1"/>
  <c r="X144" i="15"/>
  <c r="Y144" i="15" s="1"/>
  <c r="X145" i="15"/>
  <c r="Y145" i="15" s="1"/>
  <c r="X146" i="15"/>
  <c r="Y146" i="15" s="1"/>
  <c r="X147" i="15"/>
  <c r="Y147" i="15" s="1"/>
  <c r="X148" i="15"/>
  <c r="Y148" i="15" s="1"/>
  <c r="X149" i="15"/>
  <c r="Y149" i="15" s="1"/>
  <c r="X150" i="15"/>
  <c r="Y150" i="15" s="1"/>
  <c r="X151" i="15"/>
  <c r="Y151" i="15" s="1"/>
  <c r="X152" i="15"/>
  <c r="Y152" i="15" s="1"/>
  <c r="X153" i="15"/>
  <c r="Y153" i="15" s="1"/>
  <c r="X154" i="15"/>
  <c r="Y154" i="15" s="1"/>
  <c r="X155" i="15"/>
  <c r="Y155" i="15" s="1"/>
  <c r="X156" i="15"/>
  <c r="Y156" i="15" s="1"/>
  <c r="X157" i="15"/>
  <c r="Y157" i="15" s="1"/>
  <c r="X158" i="15"/>
  <c r="Y158" i="15" s="1"/>
  <c r="X159" i="15"/>
  <c r="Y159" i="15" s="1"/>
  <c r="X160" i="15"/>
  <c r="Y160" i="15" s="1"/>
  <c r="X161" i="15"/>
  <c r="Y161" i="15" s="1"/>
  <c r="X162" i="15"/>
  <c r="Y162" i="15" s="1"/>
  <c r="X163" i="15"/>
  <c r="Y163" i="15" s="1"/>
  <c r="X164" i="15"/>
  <c r="Y164" i="15" s="1"/>
  <c r="X165" i="15"/>
  <c r="Y165" i="15" s="1"/>
  <c r="X166" i="15"/>
  <c r="Y166" i="15" s="1"/>
  <c r="X167" i="15"/>
  <c r="Y167" i="15" s="1"/>
  <c r="X168" i="15"/>
  <c r="Y168" i="15" s="1"/>
  <c r="X169" i="15"/>
  <c r="Y169" i="15" s="1"/>
  <c r="X170" i="15"/>
  <c r="Y170" i="15" s="1"/>
  <c r="X171" i="15"/>
  <c r="Y171" i="15" s="1"/>
  <c r="X172" i="15"/>
  <c r="Y172" i="15" s="1"/>
  <c r="X173" i="15"/>
  <c r="Y173" i="15" s="1"/>
  <c r="X174" i="15"/>
  <c r="Y174" i="15" s="1"/>
  <c r="X175" i="15"/>
  <c r="Y175" i="15" s="1"/>
  <c r="X176" i="15"/>
  <c r="Y176" i="15" s="1"/>
  <c r="X177" i="15"/>
  <c r="Y177" i="15" s="1"/>
  <c r="X178" i="15"/>
  <c r="Y178" i="15" s="1"/>
  <c r="X179" i="15"/>
  <c r="Y179" i="15" s="1"/>
  <c r="X180" i="15"/>
  <c r="Y180" i="15" s="1"/>
  <c r="X181" i="15"/>
  <c r="Y181" i="15" s="1"/>
  <c r="X182" i="15"/>
  <c r="Y182" i="15" s="1"/>
  <c r="X183" i="15"/>
  <c r="Y183" i="15" s="1"/>
  <c r="X184" i="15"/>
  <c r="Y184" i="15" s="1"/>
  <c r="X185" i="15"/>
  <c r="Y185" i="15" s="1"/>
  <c r="X186" i="15"/>
  <c r="Y186" i="15" s="1"/>
  <c r="X187" i="15"/>
  <c r="Y187" i="15" s="1"/>
  <c r="X188" i="15"/>
  <c r="Y188" i="15" s="1"/>
  <c r="X189" i="15"/>
  <c r="Y189" i="15" s="1"/>
  <c r="X190" i="15"/>
  <c r="Y190" i="15" s="1"/>
  <c r="X191" i="15"/>
  <c r="Y191" i="15" s="1"/>
  <c r="X192" i="15"/>
  <c r="Y192" i="15" s="1"/>
  <c r="X193" i="15"/>
  <c r="Y193" i="15" s="1"/>
  <c r="X194" i="15"/>
  <c r="Y194" i="15" s="1"/>
  <c r="X195" i="15"/>
  <c r="Y195" i="15" s="1"/>
  <c r="X196" i="15"/>
  <c r="Y196" i="15" s="1"/>
  <c r="X197" i="15"/>
  <c r="Y197" i="15" s="1"/>
  <c r="X198" i="15"/>
  <c r="Y198" i="15" s="1"/>
  <c r="X199" i="15"/>
  <c r="Y199" i="15" s="1"/>
  <c r="X200" i="15"/>
  <c r="Y200" i="15" s="1"/>
  <c r="X201" i="15"/>
  <c r="Y201" i="15" s="1"/>
  <c r="X202" i="15"/>
  <c r="Y202" i="15" s="1"/>
  <c r="X203" i="15"/>
  <c r="Y203" i="15" s="1"/>
  <c r="X204" i="15"/>
  <c r="Y204" i="15" s="1"/>
  <c r="X205" i="15"/>
  <c r="Y205" i="15" s="1"/>
  <c r="X206" i="15"/>
  <c r="Y206" i="15" s="1"/>
  <c r="X207" i="15"/>
  <c r="Y207" i="15" s="1"/>
  <c r="X208" i="15"/>
  <c r="Y208" i="15" s="1"/>
  <c r="X209" i="15"/>
  <c r="Y209" i="15" s="1"/>
  <c r="X210" i="15"/>
  <c r="Y210" i="15" s="1"/>
  <c r="X211" i="15"/>
  <c r="Y211" i="15" s="1"/>
  <c r="X212" i="15"/>
  <c r="Y212" i="15" s="1"/>
  <c r="X213" i="15"/>
  <c r="Y213" i="15" s="1"/>
  <c r="X214" i="15"/>
  <c r="Y214" i="15" s="1"/>
  <c r="X215" i="15"/>
  <c r="Y215" i="15" s="1"/>
  <c r="X216" i="15"/>
  <c r="Y216" i="15" s="1"/>
  <c r="X217" i="15"/>
  <c r="Y217" i="15" s="1"/>
  <c r="X218" i="15"/>
  <c r="Y218" i="15" s="1"/>
  <c r="X219" i="15"/>
  <c r="Y219" i="15" s="1"/>
  <c r="X220" i="15"/>
  <c r="Y220" i="15" s="1"/>
  <c r="X221" i="15"/>
  <c r="Y221" i="15" s="1"/>
  <c r="X222" i="15"/>
  <c r="Y222" i="15" s="1"/>
  <c r="X223" i="15"/>
  <c r="Y223" i="15" s="1"/>
  <c r="X224" i="15"/>
  <c r="Y224" i="15" s="1"/>
  <c r="X225" i="15"/>
  <c r="Y225" i="15" s="1"/>
  <c r="X226" i="15"/>
  <c r="Y226" i="15" s="1"/>
  <c r="X227" i="15"/>
  <c r="Y227" i="15" s="1"/>
  <c r="X228" i="15"/>
  <c r="Y228" i="15" s="1"/>
  <c r="X229" i="15"/>
  <c r="Y229" i="15" s="1"/>
  <c r="X230" i="15"/>
  <c r="Y230" i="15" s="1"/>
  <c r="X231" i="15"/>
  <c r="Y231" i="15" s="1"/>
  <c r="X232" i="15"/>
  <c r="Y232" i="15" s="1"/>
  <c r="X233" i="15"/>
  <c r="Y233" i="15" s="1"/>
  <c r="X234" i="15"/>
  <c r="Y234" i="15" s="1"/>
  <c r="X235" i="15"/>
  <c r="Y235" i="15" s="1"/>
  <c r="X236" i="15"/>
  <c r="Y236" i="15" s="1"/>
  <c r="X237" i="15"/>
  <c r="Y237" i="15" s="1"/>
  <c r="X238" i="15"/>
  <c r="Y238" i="15" s="1"/>
  <c r="X239" i="15"/>
  <c r="Y239" i="15" s="1"/>
  <c r="X240" i="15"/>
  <c r="Y240" i="15" s="1"/>
  <c r="X241" i="15"/>
  <c r="Y241" i="15" s="1"/>
  <c r="X242" i="15"/>
  <c r="Y242" i="15" s="1"/>
  <c r="X243" i="15"/>
  <c r="Y243" i="15" s="1"/>
  <c r="X244" i="15"/>
  <c r="Y244" i="15" s="1"/>
  <c r="X245" i="15"/>
  <c r="Y245" i="15" s="1"/>
  <c r="X246" i="15"/>
  <c r="Y246" i="15" s="1"/>
  <c r="X247" i="15"/>
  <c r="Y247" i="15" s="1"/>
  <c r="X248" i="15"/>
  <c r="Y248" i="15" s="1"/>
  <c r="X249" i="15"/>
  <c r="Y249" i="15" s="1"/>
  <c r="X250" i="15"/>
  <c r="Y250" i="15" s="1"/>
  <c r="X251" i="15"/>
  <c r="Y251" i="15" s="1"/>
  <c r="X252" i="15"/>
  <c r="Y252" i="15" s="1"/>
  <c r="X253" i="15"/>
  <c r="Y253" i="15" s="1"/>
  <c r="X254" i="15"/>
  <c r="Y254" i="15" s="1"/>
  <c r="X255" i="15"/>
  <c r="Y255" i="15" s="1"/>
  <c r="X256" i="15"/>
  <c r="Y256" i="15" s="1"/>
  <c r="X257" i="15"/>
  <c r="Y257" i="15" s="1"/>
  <c r="X258" i="15"/>
  <c r="Y258" i="15" s="1"/>
  <c r="X259" i="15"/>
  <c r="Y259" i="15" s="1"/>
  <c r="X260" i="15"/>
  <c r="Y260" i="15" s="1"/>
  <c r="X261" i="15"/>
  <c r="Y261" i="15" s="1"/>
  <c r="X262" i="15"/>
  <c r="Y262" i="15" s="1"/>
  <c r="X263" i="15"/>
  <c r="Y263" i="15" s="1"/>
  <c r="X264" i="15"/>
  <c r="Y264" i="15" s="1"/>
  <c r="X265" i="15"/>
  <c r="Y265" i="15" s="1"/>
  <c r="X266" i="15"/>
  <c r="Y266" i="15" s="1"/>
  <c r="X267" i="15"/>
  <c r="Y267" i="15" s="1"/>
  <c r="X268" i="15"/>
  <c r="Y268" i="15" s="1"/>
  <c r="X269" i="15"/>
  <c r="Y269" i="15" s="1"/>
  <c r="X270" i="15"/>
  <c r="Y270" i="15" s="1"/>
  <c r="X271" i="15"/>
  <c r="Y271" i="15" s="1"/>
  <c r="X272" i="15"/>
  <c r="Y272" i="15" s="1"/>
  <c r="X19" i="15"/>
  <c r="Y19" i="15" s="1"/>
  <c r="X18" i="15"/>
  <c r="Y18" i="15" s="1"/>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V115"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V208" i="15"/>
  <c r="V209" i="15"/>
  <c r="V210" i="15"/>
  <c r="V211" i="15"/>
  <c r="V212" i="15"/>
  <c r="V213" i="15"/>
  <c r="V214" i="15"/>
  <c r="V215" i="15"/>
  <c r="V216" i="15"/>
  <c r="V217" i="15"/>
  <c r="V218" i="15"/>
  <c r="V219" i="15"/>
  <c r="V220" i="15"/>
  <c r="V221" i="15"/>
  <c r="V222" i="15"/>
  <c r="V223" i="15"/>
  <c r="V224" i="15"/>
  <c r="V225" i="15"/>
  <c r="V226" i="15"/>
  <c r="V227" i="15"/>
  <c r="V228" i="15"/>
  <c r="V229" i="15"/>
  <c r="V230" i="15"/>
  <c r="V231" i="15"/>
  <c r="V232" i="15"/>
  <c r="V233" i="15"/>
  <c r="V234" i="15"/>
  <c r="V235" i="15"/>
  <c r="V236" i="15"/>
  <c r="V237" i="15"/>
  <c r="V238" i="15"/>
  <c r="V239" i="15"/>
  <c r="V240" i="15"/>
  <c r="V241" i="15"/>
  <c r="V242" i="15"/>
  <c r="V243" i="15"/>
  <c r="V244" i="15"/>
  <c r="V245" i="15"/>
  <c r="V246" i="15"/>
  <c r="V247" i="15"/>
  <c r="V248" i="15"/>
  <c r="V249" i="15"/>
  <c r="V250" i="15"/>
  <c r="V251" i="15"/>
  <c r="V252" i="15"/>
  <c r="V253" i="15"/>
  <c r="V254" i="15"/>
  <c r="V255" i="15"/>
  <c r="V256" i="15"/>
  <c r="V257" i="15"/>
  <c r="V258" i="15"/>
  <c r="V259" i="15"/>
  <c r="V260" i="15"/>
  <c r="V261" i="15"/>
  <c r="V262" i="15"/>
  <c r="V263" i="15"/>
  <c r="V264" i="15"/>
  <c r="V265" i="15"/>
  <c r="V266" i="15"/>
  <c r="V267" i="15"/>
  <c r="V268" i="15"/>
  <c r="V269" i="15"/>
  <c r="V270" i="15"/>
  <c r="V271" i="15"/>
  <c r="V272" i="15"/>
  <c r="V18" i="15"/>
  <c r="V19" i="15"/>
  <c r="V21" i="15"/>
  <c r="V22" i="15"/>
  <c r="V23" i="15"/>
  <c r="V24" i="15"/>
  <c r="V25" i="15"/>
  <c r="V26" i="15"/>
  <c r="V27" i="15"/>
  <c r="V28" i="15"/>
  <c r="V29" i="15"/>
  <c r="V30" i="15"/>
  <c r="V31" i="15"/>
  <c r="V32" i="15"/>
  <c r="V33" i="15"/>
  <c r="V34" i="15"/>
  <c r="V35" i="15"/>
  <c r="V36" i="15"/>
  <c r="V37" i="15"/>
  <c r="V38" i="15"/>
  <c r="V39" i="15"/>
  <c r="V40" i="15"/>
  <c r="V20" i="15"/>
  <c r="V10" i="15" l="1"/>
  <c r="X12" i="15"/>
  <c r="D9" i="15"/>
  <c r="T10" i="15"/>
  <c r="N10" i="15"/>
  <c r="O10" i="15"/>
  <c r="P10" i="15"/>
  <c r="Q10" i="15"/>
  <c r="R10" i="15"/>
  <c r="S10" i="15"/>
  <c r="M10" i="15"/>
  <c r="C2" i="11"/>
  <c r="M9" i="15" l="1"/>
  <c r="W10" i="15" s="1"/>
  <c r="W12" i="15" s="1"/>
  <c r="V11" i="15" s="1"/>
  <c r="C8" i="8"/>
  <c r="D42" i="10"/>
  <c r="D41" i="10"/>
  <c r="D40" i="10"/>
  <c r="D39" i="10"/>
  <c r="D38" i="10"/>
  <c r="D37" i="10"/>
  <c r="C8" i="10"/>
  <c r="E8" i="10"/>
  <c r="C27" i="10"/>
  <c r="Q30" i="10"/>
  <c r="AB47" i="8"/>
  <c r="AB46" i="8"/>
  <c r="AB45" i="8"/>
  <c r="AG46" i="10"/>
  <c r="AG45" i="10"/>
  <c r="V41" i="8"/>
  <c r="AN41" i="8"/>
  <c r="AM39" i="10"/>
  <c r="AA39" i="10"/>
  <c r="AP74" i="10"/>
  <c r="AP72" i="10"/>
  <c r="AP71" i="10"/>
  <c r="AP70" i="10"/>
  <c r="AG44" i="10"/>
  <c r="AH42" i="10"/>
  <c r="AG43" i="10"/>
  <c r="I38" i="10"/>
  <c r="E20" i="10"/>
  <c r="G20" i="10" s="1"/>
  <c r="E19" i="10"/>
  <c r="F19" i="10" s="1"/>
  <c r="G19" i="10" s="1"/>
  <c r="O12" i="15" l="1"/>
  <c r="H12" i="15"/>
  <c r="T12" i="15"/>
  <c r="N12" i="15"/>
  <c r="G12" i="15"/>
  <c r="R12" i="15"/>
  <c r="K12" i="15"/>
  <c r="E12" i="15"/>
  <c r="Q12" i="15"/>
  <c r="J12" i="15"/>
  <c r="D12" i="15"/>
  <c r="P12" i="15"/>
  <c r="I12" i="15"/>
  <c r="S12" i="15"/>
  <c r="M12" i="15"/>
  <c r="F12" i="15"/>
  <c r="H20" i="10"/>
  <c r="L27" i="10" s="1"/>
  <c r="I38" i="8"/>
  <c r="AC43" i="8"/>
  <c r="AB44" i="8"/>
  <c r="AB43" i="8"/>
  <c r="Y43" i="8"/>
  <c r="AQ46" i="8"/>
  <c r="AQ45" i="8"/>
  <c r="AQ44" i="8"/>
  <c r="AQ43" i="8"/>
  <c r="I13" i="8"/>
  <c r="V12" i="15" l="1"/>
  <c r="I37" i="10"/>
  <c r="D47" i="13"/>
  <c r="F40" i="13" l="1"/>
  <c r="D54" i="13"/>
  <c r="G14" i="13"/>
  <c r="C14" i="13" s="1"/>
  <c r="G15" i="13"/>
  <c r="C15" i="13" s="1"/>
  <c r="G16" i="13"/>
  <c r="C16" i="13" s="1"/>
  <c r="G17" i="13"/>
  <c r="C17" i="13" s="1"/>
  <c r="G18" i="13"/>
  <c r="C18" i="13" s="1"/>
  <c r="G19" i="13"/>
  <c r="C19" i="13" s="1"/>
  <c r="G20" i="13"/>
  <c r="C20" i="13" s="1"/>
  <c r="G21" i="13"/>
  <c r="C21" i="13" s="1"/>
  <c r="G22" i="13"/>
  <c r="C22" i="13" s="1"/>
  <c r="G23" i="13"/>
  <c r="C23" i="13" s="1"/>
  <c r="G24" i="13"/>
  <c r="C24" i="13" s="1"/>
  <c r="G25" i="13"/>
  <c r="C25" i="13" s="1"/>
  <c r="G26" i="13"/>
  <c r="C26" i="13" s="1"/>
  <c r="G27" i="13"/>
  <c r="C27" i="13" s="1"/>
  <c r="G28" i="13"/>
  <c r="C28" i="13" s="1"/>
  <c r="G29" i="13"/>
  <c r="C29" i="13" s="1"/>
  <c r="G30" i="13"/>
  <c r="C30" i="13" s="1"/>
  <c r="G31" i="13"/>
  <c r="C31" i="13" s="1"/>
  <c r="G32" i="13"/>
  <c r="C32" i="13" s="1"/>
  <c r="G33" i="13"/>
  <c r="C33" i="13" s="1"/>
  <c r="G34" i="13"/>
  <c r="C34" i="13" s="1"/>
  <c r="G35" i="13"/>
  <c r="C35" i="13" s="1"/>
  <c r="G36" i="13"/>
  <c r="C36" i="13" s="1"/>
  <c r="G37" i="13"/>
  <c r="C37" i="13" s="1"/>
  <c r="G38" i="13"/>
  <c r="C38" i="13" s="1"/>
  <c r="G39" i="13"/>
  <c r="C39" i="13" s="1"/>
  <c r="G40" i="13"/>
  <c r="C40" i="13" s="1"/>
  <c r="G41" i="13"/>
  <c r="C41" i="13" s="1"/>
  <c r="G42" i="13"/>
  <c r="C42" i="13" s="1"/>
  <c r="G43" i="13"/>
  <c r="C43" i="13" s="1"/>
  <c r="G44" i="13"/>
  <c r="C44" i="13" s="1"/>
  <c r="G45" i="13"/>
  <c r="C45" i="13" s="1"/>
  <c r="G46" i="13"/>
  <c r="C46" i="13" s="1"/>
  <c r="G47" i="13"/>
  <c r="C47" i="13" s="1"/>
  <c r="G48" i="13"/>
  <c r="C48" i="13" s="1"/>
  <c r="G49" i="13"/>
  <c r="C49" i="13" s="1"/>
  <c r="G50" i="13"/>
  <c r="C50" i="13" s="1"/>
  <c r="G51" i="13"/>
  <c r="C51" i="13" s="1"/>
  <c r="G52" i="13"/>
  <c r="C52" i="13" s="1"/>
  <c r="G53" i="13"/>
  <c r="C53" i="13" s="1"/>
  <c r="G54" i="13"/>
  <c r="C54" i="13" s="1"/>
  <c r="G55" i="13"/>
  <c r="C55" i="13" s="1"/>
  <c r="G56" i="13"/>
  <c r="C56" i="13" s="1"/>
  <c r="G57" i="13"/>
  <c r="C57" i="13" s="1"/>
  <c r="G58" i="13"/>
  <c r="C58" i="13" s="1"/>
  <c r="G59" i="13"/>
  <c r="C59" i="13" s="1"/>
  <c r="G60" i="13"/>
  <c r="C60" i="13" s="1"/>
  <c r="G61" i="13"/>
  <c r="C61" i="13" s="1"/>
  <c r="G62" i="13"/>
  <c r="C62" i="13" s="1"/>
  <c r="G63" i="13"/>
  <c r="C63" i="13" s="1"/>
  <c r="G64" i="13"/>
  <c r="C64" i="13" s="1"/>
  <c r="G65" i="13"/>
  <c r="C65" i="13" s="1"/>
  <c r="G66" i="13"/>
  <c r="C66" i="13" s="1"/>
  <c r="G67" i="13"/>
  <c r="C67" i="13" s="1"/>
  <c r="G68" i="13"/>
  <c r="C68" i="13" s="1"/>
  <c r="G69" i="13"/>
  <c r="C69" i="13" s="1"/>
  <c r="G70" i="13"/>
  <c r="C70" i="13" s="1"/>
  <c r="G13" i="13"/>
  <c r="C13" i="13" s="1"/>
  <c r="L35" i="13"/>
  <c r="L36" i="13" s="1"/>
  <c r="M36" i="13" s="1"/>
  <c r="H13" i="13"/>
  <c r="F67" i="13" l="1"/>
  <c r="F61" i="13"/>
  <c r="F55" i="13"/>
  <c r="F49" i="13"/>
  <c r="F43" i="13"/>
  <c r="F66" i="13"/>
  <c r="F60" i="13"/>
  <c r="F54" i="13"/>
  <c r="F48" i="13"/>
  <c r="F41" i="13"/>
  <c r="F65" i="13"/>
  <c r="F59" i="13"/>
  <c r="F53" i="13"/>
  <c r="F47" i="13"/>
  <c r="F70" i="13"/>
  <c r="F64" i="13"/>
  <c r="F58" i="13"/>
  <c r="F52" i="13"/>
  <c r="F46" i="13"/>
  <c r="F69" i="13"/>
  <c r="F63" i="13"/>
  <c r="F57" i="13"/>
  <c r="F51" i="13"/>
  <c r="F45" i="13"/>
  <c r="F68" i="13"/>
  <c r="F62" i="13"/>
  <c r="F56" i="13"/>
  <c r="F50" i="13"/>
  <c r="F44" i="13"/>
  <c r="F42" i="13"/>
  <c r="L7" i="10"/>
  <c r="L7" i="8"/>
  <c r="I39" i="8" s="1"/>
  <c r="I13" i="10"/>
  <c r="L6" i="10" l="1"/>
  <c r="I39" i="10"/>
  <c r="DA10" i="8"/>
  <c r="D41" i="9"/>
  <c r="F22" i="9" l="1"/>
  <c r="C24" i="9"/>
  <c r="M10" i="9"/>
  <c r="D70" i="13"/>
  <c r="D69" i="13"/>
  <c r="D68" i="13"/>
  <c r="D67" i="13"/>
  <c r="D66" i="13"/>
  <c r="D65" i="13"/>
  <c r="D64" i="13"/>
  <c r="D63" i="13"/>
  <c r="D62" i="13"/>
  <c r="D61" i="13"/>
  <c r="D60" i="13"/>
  <c r="D59" i="13"/>
  <c r="D58" i="13"/>
  <c r="D57" i="13"/>
  <c r="D56" i="13"/>
  <c r="D55" i="13"/>
  <c r="D53" i="13"/>
  <c r="D52" i="13"/>
  <c r="D51" i="13"/>
  <c r="D50" i="13"/>
  <c r="D49" i="13"/>
  <c r="D48" i="13"/>
  <c r="D46" i="13"/>
  <c r="D45" i="13"/>
  <c r="D44" i="13"/>
  <c r="D43" i="13"/>
  <c r="D42" i="13"/>
  <c r="D41" i="13"/>
  <c r="D40" i="13"/>
  <c r="F39" i="13"/>
  <c r="D39" i="13"/>
  <c r="F38" i="13"/>
  <c r="D38" i="13"/>
  <c r="F37" i="13"/>
  <c r="D37" i="13"/>
  <c r="F36" i="13"/>
  <c r="D36" i="13"/>
  <c r="F35" i="13"/>
  <c r="D35" i="13"/>
  <c r="F34" i="13"/>
  <c r="D34" i="13"/>
  <c r="F33" i="13"/>
  <c r="D33" i="13"/>
  <c r="F32" i="13"/>
  <c r="D32" i="13"/>
  <c r="F31" i="13"/>
  <c r="D31" i="13"/>
  <c r="F30" i="13"/>
  <c r="D30" i="13"/>
  <c r="F29" i="13"/>
  <c r="D29" i="13"/>
  <c r="F28" i="13"/>
  <c r="D28" i="13"/>
  <c r="F27" i="13"/>
  <c r="D27" i="13"/>
  <c r="F26" i="13"/>
  <c r="D26" i="13"/>
  <c r="F25" i="13"/>
  <c r="D25" i="13"/>
  <c r="F24" i="13"/>
  <c r="D24" i="13"/>
  <c r="F23" i="13"/>
  <c r="D23" i="13"/>
  <c r="F22" i="13"/>
  <c r="D22" i="13"/>
  <c r="F21" i="13"/>
  <c r="D21" i="13"/>
  <c r="F20" i="13"/>
  <c r="D20" i="13"/>
  <c r="F19" i="13"/>
  <c r="D19" i="13"/>
  <c r="F18" i="13"/>
  <c r="D18" i="13"/>
  <c r="F17" i="13"/>
  <c r="D17" i="13"/>
  <c r="F16" i="13"/>
  <c r="D16" i="13"/>
  <c r="E12" i="13"/>
  <c r="F11" i="13"/>
  <c r="H64" i="13"/>
  <c r="H27" i="13"/>
  <c r="H46" i="13"/>
  <c r="H56" i="13"/>
  <c r="H33" i="13"/>
  <c r="H17" i="13"/>
  <c r="H59" i="13"/>
  <c r="H39" i="13"/>
  <c r="H36" i="13"/>
  <c r="H31" i="13"/>
  <c r="H41" i="13"/>
  <c r="H28" i="13"/>
  <c r="H32" i="13"/>
  <c r="H20" i="13"/>
  <c r="H45" i="13"/>
  <c r="H34" i="13"/>
  <c r="H19" i="13"/>
  <c r="H29" i="13"/>
  <c r="H30" i="13"/>
  <c r="H57" i="13"/>
  <c r="H23" i="13"/>
  <c r="H38" i="13"/>
  <c r="H44" i="13"/>
  <c r="H47" i="13"/>
  <c r="H43" i="13"/>
  <c r="H52" i="13"/>
  <c r="H21" i="13"/>
  <c r="H51" i="13"/>
  <c r="H67" i="13"/>
  <c r="H16" i="13"/>
  <c r="H63" i="13"/>
  <c r="H24" i="13"/>
  <c r="H18" i="13"/>
  <c r="H37" i="13"/>
  <c r="H26" i="13"/>
  <c r="H70" i="13"/>
  <c r="H40" i="13"/>
  <c r="H53" i="13"/>
  <c r="H22" i="13"/>
  <c r="H25" i="13"/>
  <c r="H58" i="13"/>
  <c r="H65" i="13"/>
  <c r="H61" i="13"/>
  <c r="H35" i="13"/>
  <c r="H69" i="13"/>
  <c r="F24" i="9" l="1"/>
  <c r="D25" i="9"/>
  <c r="D26" i="9" s="1"/>
  <c r="G12" i="13"/>
  <c r="C12" i="13" s="1"/>
  <c r="F12" i="13"/>
  <c r="H50" i="13"/>
  <c r="H66" i="13"/>
  <c r="H48" i="13"/>
  <c r="H54" i="13"/>
  <c r="H60" i="13"/>
  <c r="H68" i="13"/>
  <c r="H49" i="13"/>
  <c r="H62" i="13"/>
  <c r="H12" i="13"/>
  <c r="H55" i="13"/>
  <c r="H42" i="13"/>
  <c r="C30" i="9" l="1"/>
  <c r="D28" i="9"/>
  <c r="F13" i="13"/>
  <c r="D13" i="13"/>
  <c r="E33" i="9" l="1"/>
  <c r="E34" i="9" s="1"/>
  <c r="D44" i="9" s="1"/>
  <c r="C33" i="9"/>
  <c r="C34" i="9" s="1"/>
  <c r="D43" i="9" s="1"/>
  <c r="C35" i="9"/>
  <c r="F14" i="13"/>
  <c r="D14" i="13"/>
  <c r="B5" i="12"/>
  <c r="B5" i="11"/>
  <c r="F2" i="11"/>
  <c r="F3" i="11" s="1"/>
  <c r="H14" i="13"/>
  <c r="F43" i="9" l="1"/>
  <c r="F44" i="9"/>
  <c r="H44" i="9" s="1"/>
  <c r="F15" i="13"/>
  <c r="D15" i="13"/>
  <c r="C2" i="12"/>
  <c r="I2" i="12" s="1"/>
  <c r="G2" i="11"/>
  <c r="H2" i="11" s="1"/>
  <c r="I2" i="11" s="1"/>
  <c r="G3" i="11"/>
  <c r="H3" i="11" s="1"/>
  <c r="F4" i="11"/>
  <c r="H15" i="13"/>
  <c r="D48" i="9" l="1"/>
  <c r="G43" i="9"/>
  <c r="H43" i="9" s="1"/>
  <c r="H46" i="9" s="1"/>
  <c r="I3" i="12"/>
  <c r="J2" i="12"/>
  <c r="J2" i="11"/>
  <c r="G4" i="11"/>
  <c r="H4" i="11" s="1"/>
  <c r="F5" i="11"/>
  <c r="J3" i="11"/>
  <c r="I3" i="11"/>
  <c r="F50" i="9"/>
  <c r="F51" i="9" l="1"/>
  <c r="I4" i="12"/>
  <c r="J3" i="12"/>
  <c r="G5" i="11"/>
  <c r="H5" i="11" s="1"/>
  <c r="F6" i="11"/>
  <c r="J4" i="11"/>
  <c r="I4" i="11"/>
  <c r="F52" i="9" l="1"/>
  <c r="I5" i="12"/>
  <c r="J4" i="12"/>
  <c r="F7" i="11"/>
  <c r="G6" i="11"/>
  <c r="H6" i="11" s="1"/>
  <c r="J5" i="11"/>
  <c r="I5" i="11"/>
  <c r="J5" i="12" l="1"/>
  <c r="I6" i="12"/>
  <c r="I6" i="11"/>
  <c r="J6" i="11"/>
  <c r="F8" i="11"/>
  <c r="G7" i="11"/>
  <c r="H7" i="11" s="1"/>
  <c r="I7" i="12" l="1"/>
  <c r="J6" i="12"/>
  <c r="J7" i="11"/>
  <c r="I7" i="11"/>
  <c r="F9" i="11"/>
  <c r="G8" i="11"/>
  <c r="H8" i="11" s="1"/>
  <c r="I8" i="12" l="1"/>
  <c r="J7" i="12"/>
  <c r="J8" i="11"/>
  <c r="I8" i="11"/>
  <c r="G9" i="11"/>
  <c r="H9" i="11" s="1"/>
  <c r="F10" i="11"/>
  <c r="J8" i="12" l="1"/>
  <c r="I9" i="12"/>
  <c r="G10" i="11"/>
  <c r="H10" i="11" s="1"/>
  <c r="F11" i="11"/>
  <c r="J9" i="11"/>
  <c r="I9" i="11"/>
  <c r="I10" i="12" l="1"/>
  <c r="J9" i="12"/>
  <c r="G11" i="11"/>
  <c r="H11" i="11" s="1"/>
  <c r="F12" i="11"/>
  <c r="I10" i="11"/>
  <c r="J10" i="11"/>
  <c r="I11" i="12" l="1"/>
  <c r="J10" i="12"/>
  <c r="F13" i="11"/>
  <c r="G12" i="11"/>
  <c r="H12" i="11" s="1"/>
  <c r="J11" i="11"/>
  <c r="I11" i="11"/>
  <c r="J11" i="12" l="1"/>
  <c r="I12" i="12"/>
  <c r="I12" i="11"/>
  <c r="J12" i="11"/>
  <c r="F14" i="11"/>
  <c r="G13" i="11"/>
  <c r="H13" i="11" s="1"/>
  <c r="I13" i="12" l="1"/>
  <c r="J12" i="12"/>
  <c r="F15" i="11"/>
  <c r="G14" i="11"/>
  <c r="H14" i="11" s="1"/>
  <c r="J13" i="11"/>
  <c r="I13" i="11"/>
  <c r="I14" i="12" l="1"/>
  <c r="J13" i="12"/>
  <c r="J14" i="11"/>
  <c r="I14" i="11"/>
  <c r="G15" i="11"/>
  <c r="H15" i="11" s="1"/>
  <c r="F16" i="11"/>
  <c r="J14" i="12" l="1"/>
  <c r="I15" i="12"/>
  <c r="G16" i="11"/>
  <c r="H16" i="11" s="1"/>
  <c r="F17" i="11"/>
  <c r="G17" i="11" s="1"/>
  <c r="J15" i="11"/>
  <c r="I15" i="11"/>
  <c r="I16" i="12" l="1"/>
  <c r="J15" i="12"/>
  <c r="H17" i="11"/>
  <c r="G18" i="11"/>
  <c r="I16" i="11"/>
  <c r="J16" i="11"/>
  <c r="I17" i="12" l="1"/>
  <c r="J17" i="12" s="1"/>
  <c r="J16" i="12"/>
  <c r="J17" i="11"/>
  <c r="J18" i="11" s="1"/>
  <c r="I17" i="11"/>
  <c r="J18" i="12" l="1"/>
  <c r="D2" i="12" s="1"/>
  <c r="E13" i="10" l="1"/>
  <c r="E12" i="10"/>
  <c r="E11" i="10"/>
  <c r="E10" i="10"/>
  <c r="I7" i="10" s="1"/>
  <c r="I9" i="10" s="1"/>
  <c r="E9" i="10"/>
  <c r="J93" i="10"/>
  <c r="K93" i="10" s="1"/>
  <c r="J91" i="10"/>
  <c r="K91" i="10" s="1"/>
  <c r="K101" i="10" s="1"/>
  <c r="I85" i="10"/>
  <c r="E85" i="10"/>
  <c r="E86" i="10" s="1"/>
  <c r="I84" i="10"/>
  <c r="E84" i="10"/>
  <c r="E10" i="8"/>
  <c r="E13" i="8"/>
  <c r="E12" i="8"/>
  <c r="E11" i="8"/>
  <c r="G20" i="9"/>
  <c r="G16" i="9"/>
  <c r="G15" i="9"/>
  <c r="G14" i="9"/>
  <c r="G13" i="9"/>
  <c r="D29" i="10" l="1"/>
  <c r="A29" i="10"/>
  <c r="C29" i="10"/>
  <c r="B29" i="10"/>
  <c r="N9" i="10"/>
  <c r="T9" i="10"/>
  <c r="Z9" i="10"/>
  <c r="AF9" i="10"/>
  <c r="AL9" i="10"/>
  <c r="AR9" i="10"/>
  <c r="AX9" i="10"/>
  <c r="BD9" i="10"/>
  <c r="BJ9" i="10"/>
  <c r="BP9" i="10"/>
  <c r="BV9" i="10"/>
  <c r="CB9" i="10"/>
  <c r="CH9" i="10"/>
  <c r="CN9" i="10"/>
  <c r="CT9" i="10"/>
  <c r="CZ9" i="10"/>
  <c r="DF9" i="10"/>
  <c r="DL9" i="10"/>
  <c r="DR9" i="10"/>
  <c r="DX9" i="10"/>
  <c r="ED9" i="10"/>
  <c r="EJ9" i="10"/>
  <c r="EP9" i="10"/>
  <c r="EV9" i="10"/>
  <c r="FB9" i="10"/>
  <c r="FH9" i="10"/>
  <c r="FN9" i="10"/>
  <c r="FJ9" i="10"/>
  <c r="K9" i="10"/>
  <c r="AI9" i="10"/>
  <c r="BA9" i="10"/>
  <c r="BS9" i="10"/>
  <c r="CK9" i="10"/>
  <c r="CW9" i="10"/>
  <c r="DO9" i="10"/>
  <c r="EG9" i="10"/>
  <c r="ES9" i="10"/>
  <c r="FE9" i="10"/>
  <c r="L9" i="10"/>
  <c r="R9" i="10"/>
  <c r="AD9" i="10"/>
  <c r="AP9" i="10"/>
  <c r="BH9" i="10"/>
  <c r="BZ9" i="10"/>
  <c r="CR9" i="10"/>
  <c r="DD9" i="10"/>
  <c r="DV9" i="10"/>
  <c r="ET9" i="10"/>
  <c r="FL9" i="10"/>
  <c r="S9" i="10"/>
  <c r="AK9" i="10"/>
  <c r="BC9" i="10"/>
  <c r="BU9" i="10"/>
  <c r="CS9" i="10"/>
  <c r="DK9" i="10"/>
  <c r="EC9" i="10"/>
  <c r="EU9" i="10"/>
  <c r="FM9" i="10"/>
  <c r="O9" i="10"/>
  <c r="U9" i="10"/>
  <c r="AA9" i="10"/>
  <c r="AG9" i="10"/>
  <c r="AM9" i="10"/>
  <c r="AS9" i="10"/>
  <c r="AY9" i="10"/>
  <c r="BE9" i="10"/>
  <c r="BK9" i="10"/>
  <c r="BQ9" i="10"/>
  <c r="BW9" i="10"/>
  <c r="CC9" i="10"/>
  <c r="CI9" i="10"/>
  <c r="CO9" i="10"/>
  <c r="CU9" i="10"/>
  <c r="DA9" i="10"/>
  <c r="DG9" i="10"/>
  <c r="DM9" i="10"/>
  <c r="DS9" i="10"/>
  <c r="DY9" i="10"/>
  <c r="EE9" i="10"/>
  <c r="EK9" i="10"/>
  <c r="EQ9" i="10"/>
  <c r="EW9" i="10"/>
  <c r="FC9" i="10"/>
  <c r="FI9" i="10"/>
  <c r="FO9" i="10"/>
  <c r="ER9" i="10"/>
  <c r="FD9" i="10"/>
  <c r="FP9" i="10"/>
  <c r="Q9" i="10"/>
  <c r="AC9" i="10"/>
  <c r="AU9" i="10"/>
  <c r="BM9" i="10"/>
  <c r="CE9" i="10"/>
  <c r="DI9" i="10"/>
  <c r="EA9" i="10"/>
  <c r="EY9" i="10"/>
  <c r="FQ9" i="10"/>
  <c r="AJ9" i="10"/>
  <c r="BB9" i="10"/>
  <c r="BT9" i="10"/>
  <c r="CL9" i="10"/>
  <c r="DJ9" i="10"/>
  <c r="EB9" i="10"/>
  <c r="EN9" i="10"/>
  <c r="FF9" i="10"/>
  <c r="FR9" i="10"/>
  <c r="Y9" i="10"/>
  <c r="AQ9" i="10"/>
  <c r="BI9" i="10"/>
  <c r="CG9" i="10"/>
  <c r="CY9" i="10"/>
  <c r="DW9" i="10"/>
  <c r="EO9" i="10"/>
  <c r="FG9" i="10"/>
  <c r="J9" i="10"/>
  <c r="P9" i="10"/>
  <c r="V9" i="10"/>
  <c r="AB9" i="10"/>
  <c r="AH9" i="10"/>
  <c r="AN9" i="10"/>
  <c r="AT9" i="10"/>
  <c r="AZ9" i="10"/>
  <c r="BF9" i="10"/>
  <c r="BL9" i="10"/>
  <c r="BR9" i="10"/>
  <c r="BX9" i="10"/>
  <c r="CD9" i="10"/>
  <c r="CJ9" i="10"/>
  <c r="CP9" i="10"/>
  <c r="CV9" i="10"/>
  <c r="DB9" i="10"/>
  <c r="DH9" i="10"/>
  <c r="DN9" i="10"/>
  <c r="DT9" i="10"/>
  <c r="DZ9" i="10"/>
  <c r="EF9" i="10"/>
  <c r="EL9" i="10"/>
  <c r="EX9" i="10"/>
  <c r="W9" i="10"/>
  <c r="AO9" i="10"/>
  <c r="BG9" i="10"/>
  <c r="BY9" i="10"/>
  <c r="CQ9" i="10"/>
  <c r="DC9" i="10"/>
  <c r="DU9" i="10"/>
  <c r="EM9" i="10"/>
  <c r="FK9" i="10"/>
  <c r="X9" i="10"/>
  <c r="AV9" i="10"/>
  <c r="BN9" i="10"/>
  <c r="CF9" i="10"/>
  <c r="CX9" i="10"/>
  <c r="DP9" i="10"/>
  <c r="EH9" i="10"/>
  <c r="EZ9" i="10"/>
  <c r="M9" i="10"/>
  <c r="AE9" i="10"/>
  <c r="AW9" i="10"/>
  <c r="BO9" i="10"/>
  <c r="CA9" i="10"/>
  <c r="CM9" i="10"/>
  <c r="DE9" i="10"/>
  <c r="DQ9" i="10"/>
  <c r="EI9" i="10"/>
  <c r="FA9" i="10"/>
  <c r="J95" i="10"/>
  <c r="K95" i="10" s="1"/>
  <c r="K84" i="10"/>
  <c r="L24" i="10" l="1"/>
  <c r="J96" i="10"/>
  <c r="K96" i="10" s="1"/>
  <c r="J97" i="10" s="1"/>
  <c r="K97" i="10" s="1"/>
  <c r="K99" i="10" s="1"/>
  <c r="K85" i="10" s="1"/>
  <c r="I43" i="10" l="1"/>
  <c r="J43" i="10"/>
  <c r="I41" i="10"/>
  <c r="L30" i="10"/>
  <c r="J41" i="10" s="1"/>
  <c r="K41" i="10" s="1"/>
  <c r="K52" i="10" s="1"/>
  <c r="H30" i="10" s="1"/>
  <c r="J11" i="10"/>
  <c r="E20" i="8"/>
  <c r="G20" i="8" s="1"/>
  <c r="E19" i="8"/>
  <c r="F19" i="8" s="1"/>
  <c r="G19" i="8" s="1"/>
  <c r="G24" i="10" l="1"/>
  <c r="H24" i="10"/>
  <c r="E22" i="10" s="1"/>
  <c r="K43" i="10"/>
  <c r="K11" i="10"/>
  <c r="H20" i="8"/>
  <c r="C31" i="10" l="1"/>
  <c r="E24" i="10"/>
  <c r="K44" i="10"/>
  <c r="J45" i="10"/>
  <c r="K45" i="10" s="1"/>
  <c r="K46" i="10" s="1"/>
  <c r="H27" i="10"/>
  <c r="H31" i="10"/>
  <c r="E31" i="10"/>
  <c r="K56" i="10"/>
  <c r="I37" i="8"/>
  <c r="L11" i="10"/>
  <c r="I7" i="8"/>
  <c r="J46" i="10" l="1"/>
  <c r="J47" i="10"/>
  <c r="I9" i="8"/>
  <c r="CZ9" i="8"/>
  <c r="CZ7" i="8" s="1"/>
  <c r="DA9" i="8"/>
  <c r="DA11" i="8" s="1"/>
  <c r="L9" i="8"/>
  <c r="R9" i="8"/>
  <c r="X9" i="8"/>
  <c r="AD9" i="8"/>
  <c r="AJ9" i="8"/>
  <c r="AP9" i="8"/>
  <c r="AV9" i="8"/>
  <c r="BB9" i="8"/>
  <c r="BH9" i="8"/>
  <c r="BN9" i="8"/>
  <c r="BT9" i="8"/>
  <c r="BZ9" i="8"/>
  <c r="CF9" i="8"/>
  <c r="CL9" i="8"/>
  <c r="CR9" i="8"/>
  <c r="CX9" i="8"/>
  <c r="M9" i="8"/>
  <c r="S9" i="8"/>
  <c r="Y9" i="8"/>
  <c r="AE9" i="8"/>
  <c r="AK9" i="8"/>
  <c r="AQ9" i="8"/>
  <c r="AW9" i="8"/>
  <c r="BC9" i="8"/>
  <c r="BI9" i="8"/>
  <c r="BO9" i="8"/>
  <c r="BU9" i="8"/>
  <c r="CA9" i="8"/>
  <c r="CG9" i="8"/>
  <c r="CM9" i="8"/>
  <c r="CS9" i="8"/>
  <c r="CY9" i="8"/>
  <c r="N9" i="8"/>
  <c r="N7" i="8" s="1"/>
  <c r="T9" i="8"/>
  <c r="Z9" i="8"/>
  <c r="AF9" i="8"/>
  <c r="AL9" i="8"/>
  <c r="AR9" i="8"/>
  <c r="AX9" i="8"/>
  <c r="BD9" i="8"/>
  <c r="BJ9" i="8"/>
  <c r="BP9" i="8"/>
  <c r="BV9" i="8"/>
  <c r="CB9" i="8"/>
  <c r="CH9" i="8"/>
  <c r="CN9" i="8"/>
  <c r="CT9" i="8"/>
  <c r="O9" i="8"/>
  <c r="U9" i="8"/>
  <c r="AA9" i="8"/>
  <c r="AG9" i="8"/>
  <c r="AM9" i="8"/>
  <c r="AS9" i="8"/>
  <c r="AY9" i="8"/>
  <c r="BE9" i="8"/>
  <c r="BK9" i="8"/>
  <c r="BQ9" i="8"/>
  <c r="BW9" i="8"/>
  <c r="CC9" i="8"/>
  <c r="CI9" i="8"/>
  <c r="CO9" i="8"/>
  <c r="CU9" i="8"/>
  <c r="J9" i="8"/>
  <c r="P9" i="8"/>
  <c r="V9" i="8"/>
  <c r="AB9" i="8"/>
  <c r="AH9" i="8"/>
  <c r="AN9" i="8"/>
  <c r="AT9" i="8"/>
  <c r="AZ9" i="8"/>
  <c r="BF9" i="8"/>
  <c r="BL9" i="8"/>
  <c r="BR9" i="8"/>
  <c r="BX9" i="8"/>
  <c r="CD9" i="8"/>
  <c r="CJ9" i="8"/>
  <c r="CP9" i="8"/>
  <c r="CV9" i="8"/>
  <c r="K9" i="8"/>
  <c r="Q9" i="8"/>
  <c r="W9" i="8"/>
  <c r="AC9" i="8"/>
  <c r="AI9" i="8"/>
  <c r="AO9" i="8"/>
  <c r="BY9" i="8"/>
  <c r="CE9" i="8"/>
  <c r="CK9" i="8"/>
  <c r="BG9" i="8"/>
  <c r="BS9" i="8"/>
  <c r="AU9" i="8"/>
  <c r="BM9" i="8"/>
  <c r="BA9" i="8"/>
  <c r="CQ9" i="8"/>
  <c r="CW9" i="8"/>
  <c r="M11" i="10"/>
  <c r="K47" i="10" l="1"/>
  <c r="J48" i="10" s="1"/>
  <c r="K48" i="10" s="1"/>
  <c r="K50" i="10" s="1"/>
  <c r="K13" i="8"/>
  <c r="K12" i="8"/>
  <c r="N11" i="10"/>
  <c r="N7" i="10"/>
  <c r="I12" i="8"/>
  <c r="I11" i="8"/>
  <c r="J11" i="8"/>
  <c r="F24" i="8" s="1"/>
  <c r="J12" i="8"/>
  <c r="K11" i="8"/>
  <c r="S13" i="5"/>
  <c r="S25" i="5" s="1"/>
  <c r="R13" i="5"/>
  <c r="R25" i="5" s="1"/>
  <c r="Q13" i="5"/>
  <c r="P13" i="5"/>
  <c r="O13" i="5"/>
  <c r="N13" i="5"/>
  <c r="N25" i="5" s="1"/>
  <c r="M13" i="5"/>
  <c r="M25" i="5" s="1"/>
  <c r="L13" i="5"/>
  <c r="L25" i="5" s="1"/>
  <c r="J13" i="5"/>
  <c r="J25" i="5" s="1"/>
  <c r="I13" i="5"/>
  <c r="I25" i="5" s="1"/>
  <c r="H13" i="5"/>
  <c r="H25" i="5" s="1"/>
  <c r="G13" i="5"/>
  <c r="F13" i="5"/>
  <c r="F25" i="5" s="1"/>
  <c r="E13" i="5"/>
  <c r="E25" i="5" s="1"/>
  <c r="D13" i="5"/>
  <c r="D25" i="5" s="1"/>
  <c r="C13" i="5"/>
  <c r="C25" i="5" s="1"/>
  <c r="F87" i="1"/>
  <c r="G87" i="1" s="1"/>
  <c r="F86" i="1"/>
  <c r="G86" i="1" s="1"/>
  <c r="F84" i="1"/>
  <c r="G84" i="1" s="1"/>
  <c r="F88" i="1"/>
  <c r="G88" i="1" s="1"/>
  <c r="F85" i="1"/>
  <c r="G85" i="1" s="1"/>
  <c r="F83" i="1"/>
  <c r="G83" i="1" s="1"/>
  <c r="K57" i="10" l="1"/>
  <c r="H33" i="10"/>
  <c r="J43" i="8"/>
  <c r="K43" i="8" s="1"/>
  <c r="J45" i="8" s="1"/>
  <c r="K45" i="8" s="1"/>
  <c r="J46" i="8" s="1"/>
  <c r="K46" i="8" s="1"/>
  <c r="J47" i="8" s="1"/>
  <c r="K47" i="8" s="1"/>
  <c r="K49" i="8" s="1"/>
  <c r="H33" i="8" s="1"/>
  <c r="I43" i="8"/>
  <c r="L24" i="8"/>
  <c r="L30" i="8" s="1"/>
  <c r="G25" i="5"/>
  <c r="C27" i="5" s="1"/>
  <c r="H24" i="5"/>
  <c r="H24" i="8"/>
  <c r="E22" i="8" s="1"/>
  <c r="O11" i="10"/>
  <c r="O7" i="10"/>
  <c r="L12" i="8"/>
  <c r="O25" i="5"/>
  <c r="O24" i="5"/>
  <c r="P25" i="5"/>
  <c r="P24" i="5"/>
  <c r="Q25" i="5"/>
  <c r="Q24" i="5"/>
  <c r="R24" i="5"/>
  <c r="M24" i="5"/>
  <c r="E24" i="5"/>
  <c r="E24" i="8" l="1"/>
  <c r="I41" i="8"/>
  <c r="J41" i="8"/>
  <c r="K41" i="8" s="1"/>
  <c r="K55" i="8" s="1"/>
  <c r="C31" i="8"/>
  <c r="E31" i="8"/>
  <c r="H31" i="8"/>
  <c r="D29" i="5"/>
  <c r="P11" i="10"/>
  <c r="P7" i="10"/>
  <c r="L11" i="8"/>
  <c r="L27" i="5"/>
  <c r="L29" i="5" s="1"/>
  <c r="K51" i="8" l="1"/>
  <c r="H30" i="8" s="1"/>
  <c r="Q11" i="10"/>
  <c r="Q7" i="10"/>
  <c r="M11" i="8"/>
  <c r="M12" i="8"/>
  <c r="N12" i="8"/>
  <c r="R11" i="10" l="1"/>
  <c r="R7" i="10"/>
  <c r="N11" i="8"/>
  <c r="O12" i="8"/>
  <c r="S11" i="10" l="1"/>
  <c r="S7" i="10"/>
  <c r="O11" i="8"/>
  <c r="O7" i="8"/>
  <c r="H27" i="8" s="1"/>
  <c r="K56" i="8" s="1"/>
  <c r="P12" i="8"/>
  <c r="T11" i="10" l="1"/>
  <c r="T7" i="10"/>
  <c r="L27" i="8"/>
  <c r="P7" i="8"/>
  <c r="P11" i="8"/>
  <c r="Q12" i="8"/>
  <c r="U11" i="10" l="1"/>
  <c r="U7" i="10"/>
  <c r="R12" i="8"/>
  <c r="Q7" i="8"/>
  <c r="Q11" i="8"/>
  <c r="V7" i="10" l="1"/>
  <c r="V11" i="10"/>
  <c r="R11" i="8"/>
  <c r="R7" i="8"/>
  <c r="S12" i="8"/>
  <c r="W11" i="10" l="1"/>
  <c r="W7" i="10"/>
  <c r="S11" i="8"/>
  <c r="S7" i="8"/>
  <c r="T12" i="8"/>
  <c r="X11" i="10" l="1"/>
  <c r="X7" i="10"/>
  <c r="T11" i="8"/>
  <c r="T7" i="8"/>
  <c r="U12" i="8"/>
  <c r="Y11" i="10" l="1"/>
  <c r="Y7" i="10"/>
  <c r="U11" i="8"/>
  <c r="U7" i="8"/>
  <c r="V12" i="8"/>
  <c r="Z11" i="10" l="1"/>
  <c r="Z7" i="10"/>
  <c r="V11" i="8"/>
  <c r="V7" i="8"/>
  <c r="W12" i="8"/>
  <c r="AA11" i="10" l="1"/>
  <c r="AA7" i="10"/>
  <c r="W7" i="8"/>
  <c r="W11" i="8"/>
  <c r="X12" i="8"/>
  <c r="AB11" i="10" l="1"/>
  <c r="AB7" i="10"/>
  <c r="X11" i="8"/>
  <c r="X7" i="8"/>
  <c r="Y12" i="8"/>
  <c r="AC11" i="10" l="1"/>
  <c r="AC7" i="10"/>
  <c r="Y11" i="8"/>
  <c r="Y7" i="8"/>
  <c r="Z12" i="8"/>
  <c r="AD11" i="10" l="1"/>
  <c r="AD7" i="10"/>
  <c r="Z7" i="8"/>
  <c r="Z11" i="8"/>
  <c r="AA12" i="8"/>
  <c r="AE11" i="10" l="1"/>
  <c r="AE7" i="10"/>
  <c r="AA11" i="8"/>
  <c r="AA7" i="8"/>
  <c r="AB12" i="8"/>
  <c r="AF11" i="10" l="1"/>
  <c r="AF7" i="10"/>
  <c r="AB7" i="8"/>
  <c r="AB11" i="8"/>
  <c r="AC12" i="8"/>
  <c r="AG11" i="10" l="1"/>
  <c r="AG7" i="10"/>
  <c r="AC11" i="8"/>
  <c r="AC7" i="8"/>
  <c r="AD12" i="8"/>
  <c r="AH7" i="10" l="1"/>
  <c r="AH11" i="10"/>
  <c r="AD11" i="8"/>
  <c r="AD7" i="8"/>
  <c r="AE12" i="8"/>
  <c r="AI11" i="10" l="1"/>
  <c r="AI7" i="10"/>
  <c r="AE7" i="8"/>
  <c r="AE11" i="8"/>
  <c r="AF12" i="8"/>
  <c r="AJ7" i="10" l="1"/>
  <c r="AJ11" i="10"/>
  <c r="AF11" i="8"/>
  <c r="AF7" i="8"/>
  <c r="AG12" i="8"/>
  <c r="AK11" i="10" l="1"/>
  <c r="AK7" i="10"/>
  <c r="AG11" i="8"/>
  <c r="AG7" i="8"/>
  <c r="AH12" i="8"/>
  <c r="AL11" i="10" l="1"/>
  <c r="AL7" i="10"/>
  <c r="AH11" i="8"/>
  <c r="AH7" i="8"/>
  <c r="AI12" i="8"/>
  <c r="AM11" i="10" l="1"/>
  <c r="AM7" i="10"/>
  <c r="AI11" i="8"/>
  <c r="AI7" i="8"/>
  <c r="AJ12" i="8"/>
  <c r="AN11" i="10" l="1"/>
  <c r="AN7" i="10"/>
  <c r="AJ11" i="8"/>
  <c r="AJ7" i="8"/>
  <c r="AK12" i="8"/>
  <c r="AO11" i="10" l="1"/>
  <c r="AO7" i="10"/>
  <c r="AK11" i="8"/>
  <c r="AK7" i="8"/>
  <c r="AL12" i="8"/>
  <c r="AP11" i="10" l="1"/>
  <c r="AP7" i="10"/>
  <c r="AL11" i="8"/>
  <c r="AL7" i="8"/>
  <c r="AM12" i="8"/>
  <c r="AQ7" i="10" l="1"/>
  <c r="AQ11" i="10"/>
  <c r="AM7" i="8"/>
  <c r="AM11" i="8"/>
  <c r="AN12" i="8"/>
  <c r="AR11" i="10" l="1"/>
  <c r="AR7" i="10"/>
  <c r="AN11" i="8"/>
  <c r="AN7" i="8"/>
  <c r="AO12" i="8"/>
  <c r="AS11" i="10" l="1"/>
  <c r="AS7" i="10"/>
  <c r="AO11" i="8"/>
  <c r="AO7" i="8"/>
  <c r="AP12" i="8"/>
  <c r="AT11" i="10" l="1"/>
  <c r="AT7" i="10"/>
  <c r="AP11" i="8"/>
  <c r="AP7" i="8"/>
  <c r="AQ12" i="8"/>
  <c r="AU11" i="10" l="1"/>
  <c r="AU7" i="10"/>
  <c r="AQ7" i="8"/>
  <c r="AQ11" i="8"/>
  <c r="AR12" i="8"/>
  <c r="AV11" i="10" l="1"/>
  <c r="AV7" i="10"/>
  <c r="AR11" i="8"/>
  <c r="AR7" i="8"/>
  <c r="AS12" i="8"/>
  <c r="AW11" i="10" l="1"/>
  <c r="AW7" i="10"/>
  <c r="AS11" i="8"/>
  <c r="AS7" i="8"/>
  <c r="AT12" i="8"/>
  <c r="AX11" i="10" l="1"/>
  <c r="AX7" i="10"/>
  <c r="AT7" i="8"/>
  <c r="AT11" i="8"/>
  <c r="AU12" i="8"/>
  <c r="AY11" i="10" l="1"/>
  <c r="AY7" i="10"/>
  <c r="AU11" i="8"/>
  <c r="AU7" i="8"/>
  <c r="AV12" i="8"/>
  <c r="AZ11" i="10" l="1"/>
  <c r="AZ7" i="10"/>
  <c r="AV11" i="8"/>
  <c r="AV7" i="8"/>
  <c r="AW12" i="8"/>
  <c r="BA11" i="10" l="1"/>
  <c r="BA7" i="10"/>
  <c r="AW11" i="8"/>
  <c r="AW7" i="8"/>
  <c r="AX12" i="8"/>
  <c r="BB11" i="10" l="1"/>
  <c r="BB7" i="10"/>
  <c r="AX11" i="8"/>
  <c r="AX7" i="8"/>
  <c r="AY12" i="8"/>
  <c r="BC7" i="10" l="1"/>
  <c r="BC11" i="10"/>
  <c r="AY11" i="8"/>
  <c r="AY7" i="8"/>
  <c r="AZ12" i="8"/>
  <c r="BD11" i="10" l="1"/>
  <c r="BD7" i="10"/>
  <c r="AZ11" i="8"/>
  <c r="AZ7" i="8"/>
  <c r="BA12" i="8"/>
  <c r="BE11" i="10" l="1"/>
  <c r="BE7" i="10"/>
  <c r="BA11" i="8"/>
  <c r="BA7" i="8"/>
  <c r="BB12" i="8"/>
  <c r="BF11" i="10" l="1"/>
  <c r="BF7" i="10"/>
  <c r="BB11" i="8"/>
  <c r="BB7" i="8"/>
  <c r="BC12" i="8"/>
  <c r="BG11" i="10" l="1"/>
  <c r="BG7" i="10"/>
  <c r="BC11" i="8"/>
  <c r="BC7" i="8"/>
  <c r="BD12" i="8"/>
  <c r="BH11" i="10" l="1"/>
  <c r="BH7" i="10"/>
  <c r="BD11" i="8"/>
  <c r="BD7" i="8"/>
  <c r="BE12" i="8"/>
  <c r="BI11" i="10" l="1"/>
  <c r="BI7" i="10"/>
  <c r="BE7" i="8"/>
  <c r="BE11" i="8"/>
  <c r="BF12" i="8"/>
  <c r="BJ11" i="10" l="1"/>
  <c r="BJ7" i="10"/>
  <c r="BF11" i="8"/>
  <c r="BF7" i="8"/>
  <c r="BG12" i="8"/>
  <c r="BK11" i="10" l="1"/>
  <c r="BK7" i="10"/>
  <c r="BG7" i="8"/>
  <c r="BG11" i="8"/>
  <c r="BH12" i="8"/>
  <c r="BL11" i="10" l="1"/>
  <c r="BL7" i="10"/>
  <c r="BH11" i="8"/>
  <c r="BH7" i="8"/>
  <c r="BI12" i="8"/>
  <c r="BM11" i="10" l="1"/>
  <c r="BM7" i="10"/>
  <c r="BI7" i="8"/>
  <c r="BI11" i="8"/>
  <c r="BJ12" i="8"/>
  <c r="BN11" i="10" l="1"/>
  <c r="BN7" i="10"/>
  <c r="BJ7" i="8"/>
  <c r="BJ11" i="8"/>
  <c r="BK12" i="8"/>
  <c r="BO11" i="10" l="1"/>
  <c r="BO7" i="10"/>
  <c r="BK11" i="8"/>
  <c r="BK7" i="8"/>
  <c r="BL12" i="8"/>
  <c r="BP11" i="10" l="1"/>
  <c r="BP7" i="10"/>
  <c r="BL11" i="8"/>
  <c r="BL7" i="8"/>
  <c r="BM12" i="8"/>
  <c r="BQ11" i="10" l="1"/>
  <c r="BQ7" i="10"/>
  <c r="BM7" i="8"/>
  <c r="BM11" i="8"/>
  <c r="BN12" i="8"/>
  <c r="BR11" i="10" l="1"/>
  <c r="BR7" i="10"/>
  <c r="BN7" i="8"/>
  <c r="BN11" i="8"/>
  <c r="BO12" i="8"/>
  <c r="BS11" i="10" l="1"/>
  <c r="BS7" i="10"/>
  <c r="BO11" i="8"/>
  <c r="BO7" i="8"/>
  <c r="BP12" i="8"/>
  <c r="BT11" i="10" l="1"/>
  <c r="BT7" i="10"/>
  <c r="BP7" i="8"/>
  <c r="BP11" i="8"/>
  <c r="BQ12" i="8"/>
  <c r="BU11" i="10" l="1"/>
  <c r="BU7" i="10"/>
  <c r="BQ7" i="8"/>
  <c r="BQ11" i="8"/>
  <c r="BR12" i="8"/>
  <c r="BV11" i="10" l="1"/>
  <c r="BV7" i="10"/>
  <c r="BR11" i="8"/>
  <c r="BR7" i="8"/>
  <c r="BS12" i="8"/>
  <c r="BW11" i="10" l="1"/>
  <c r="BW13" i="10"/>
  <c r="BW7" i="10"/>
  <c r="BS11" i="8"/>
  <c r="BS7" i="8"/>
  <c r="BT12" i="8"/>
  <c r="BX11" i="10" l="1"/>
  <c r="BX7" i="10"/>
  <c r="BT7" i="8"/>
  <c r="BT11" i="8"/>
  <c r="BU12" i="8"/>
  <c r="BY11" i="10" l="1"/>
  <c r="BY7" i="10"/>
  <c r="BU7" i="8"/>
  <c r="BU11" i="8"/>
  <c r="BV12" i="8"/>
  <c r="BZ11" i="10" l="1"/>
  <c r="BZ7" i="10"/>
  <c r="BW12" i="8"/>
  <c r="BV11" i="8"/>
  <c r="BV7" i="8"/>
  <c r="CA11" i="10" l="1"/>
  <c r="CA7" i="10"/>
  <c r="BW11" i="8"/>
  <c r="BW7" i="8"/>
  <c r="BX12" i="8"/>
  <c r="CB11" i="10" l="1"/>
  <c r="CB7" i="10"/>
  <c r="BX11" i="8"/>
  <c r="BX7" i="8"/>
  <c r="BY12" i="8"/>
  <c r="CC11" i="10" l="1"/>
  <c r="CC7" i="10"/>
  <c r="BZ12" i="8"/>
  <c r="BY7" i="8"/>
  <c r="BY11" i="8"/>
  <c r="CD11" i="10" l="1"/>
  <c r="CD7" i="10"/>
  <c r="BZ11" i="8"/>
  <c r="BZ7" i="8"/>
  <c r="CA12" i="8"/>
  <c r="CE11" i="10" l="1"/>
  <c r="CE7" i="10"/>
  <c r="CA11" i="8"/>
  <c r="CA7" i="8"/>
  <c r="CB12" i="8"/>
  <c r="CF7" i="10" l="1"/>
  <c r="CF11" i="10"/>
  <c r="CB11" i="8"/>
  <c r="CB7" i="8"/>
  <c r="CC12" i="8"/>
  <c r="CG11" i="10" l="1"/>
  <c r="CG7" i="10"/>
  <c r="CC11" i="8"/>
  <c r="CC7" i="8"/>
  <c r="CD12" i="8"/>
  <c r="CH11" i="10" l="1"/>
  <c r="CH7" i="10"/>
  <c r="CD11" i="8"/>
  <c r="CD7" i="8"/>
  <c r="CE12" i="8"/>
  <c r="CI11" i="10" l="1"/>
  <c r="CI7" i="10"/>
  <c r="CE11" i="8"/>
  <c r="CE7" i="8"/>
  <c r="CF12" i="8"/>
  <c r="CJ11" i="10" l="1"/>
  <c r="CJ7" i="10"/>
  <c r="CF11" i="8"/>
  <c r="CF7" i="8"/>
  <c r="CG12" i="8"/>
  <c r="CK7" i="10" l="1"/>
  <c r="CK11" i="10"/>
  <c r="CG7" i="8"/>
  <c r="CG11" i="8"/>
  <c r="CH12" i="8"/>
  <c r="CL11" i="10" l="1"/>
  <c r="CL7" i="10"/>
  <c r="CH11" i="8"/>
  <c r="CH7" i="8"/>
  <c r="CI12" i="8"/>
  <c r="CM11" i="10" l="1"/>
  <c r="CM7" i="10"/>
  <c r="CI7" i="8"/>
  <c r="CI11" i="8"/>
  <c r="CJ12" i="8"/>
  <c r="CN11" i="10" l="1"/>
  <c r="CN7" i="10"/>
  <c r="CJ7" i="8"/>
  <c r="CJ11" i="8"/>
  <c r="CK12" i="8"/>
  <c r="CO11" i="10" l="1"/>
  <c r="CO7" i="10"/>
  <c r="CK7" i="8"/>
  <c r="CK11" i="8"/>
  <c r="CL12" i="8"/>
  <c r="CP11" i="10" l="1"/>
  <c r="CP7" i="10"/>
  <c r="CL11" i="8"/>
  <c r="CL7" i="8"/>
  <c r="CM12" i="8"/>
  <c r="CQ11" i="10" l="1"/>
  <c r="CQ7" i="10"/>
  <c r="CM7" i="8"/>
  <c r="CM11" i="8"/>
  <c r="CN12" i="8"/>
  <c r="CR11" i="10" l="1"/>
  <c r="CR7" i="10"/>
  <c r="CN7" i="8"/>
  <c r="CN11" i="8"/>
  <c r="CO12" i="8"/>
  <c r="CS11" i="10" l="1"/>
  <c r="CS7" i="10"/>
  <c r="CO11" i="8"/>
  <c r="CO7" i="8"/>
  <c r="CP12" i="8"/>
  <c r="CT11" i="10" l="1"/>
  <c r="CT7" i="10"/>
  <c r="CP7" i="8"/>
  <c r="CP11" i="8"/>
  <c r="CQ12" i="8"/>
  <c r="CU11" i="10" l="1"/>
  <c r="CU7" i="10"/>
  <c r="CQ11" i="8"/>
  <c r="CQ7" i="8"/>
  <c r="CR12" i="8"/>
  <c r="CV11" i="10" l="1"/>
  <c r="CV7" i="10"/>
  <c r="CR11" i="8"/>
  <c r="CR7" i="8"/>
  <c r="CS12" i="8"/>
  <c r="CW11" i="10" l="1"/>
  <c r="CW7" i="10"/>
  <c r="CS11" i="8"/>
  <c r="CS7" i="8"/>
  <c r="CT12" i="8"/>
  <c r="CX11" i="10" l="1"/>
  <c r="CX7" i="10"/>
  <c r="CT11" i="8"/>
  <c r="CT7" i="8"/>
  <c r="CU12" i="8"/>
  <c r="CY7" i="10" l="1"/>
  <c r="CY11" i="10"/>
  <c r="CU11" i="8"/>
  <c r="CU7" i="8"/>
  <c r="CV12" i="8"/>
  <c r="CZ11" i="10" l="1"/>
  <c r="CZ7" i="10"/>
  <c r="CV11" i="8"/>
  <c r="CV7" i="8"/>
  <c r="CW12" i="8"/>
  <c r="DA11" i="10" l="1"/>
  <c r="DA7" i="10"/>
  <c r="CW7" i="8"/>
  <c r="CW11" i="8"/>
  <c r="CX12" i="8"/>
  <c r="DB7" i="10" l="1"/>
  <c r="DB11" i="10"/>
  <c r="CX11" i="8"/>
  <c r="CX7" i="8"/>
  <c r="CY12" i="8"/>
  <c r="DC11" i="10" l="1"/>
  <c r="DC7" i="10"/>
  <c r="CY11" i="8"/>
  <c r="CY7" i="8"/>
  <c r="L6" i="8"/>
  <c r="CZ12" i="8"/>
  <c r="DA12" i="8" s="1"/>
  <c r="DD11" i="10" l="1"/>
  <c r="DD7" i="10"/>
  <c r="CZ11" i="8"/>
  <c r="DE11" i="10" l="1"/>
  <c r="DE7" i="10"/>
  <c r="DF11" i="10" l="1"/>
  <c r="DF7" i="10"/>
  <c r="DG11" i="10" l="1"/>
  <c r="DG7" i="10"/>
  <c r="DH7" i="10" l="1"/>
  <c r="DH11" i="10"/>
  <c r="DI11" i="10" l="1"/>
  <c r="DI7" i="10"/>
  <c r="DJ11" i="10" l="1"/>
  <c r="DJ7" i="10"/>
  <c r="DK11" i="10" l="1"/>
  <c r="DK7" i="10"/>
  <c r="DL11" i="10" l="1"/>
  <c r="DL7" i="10"/>
  <c r="DM11" i="10" l="1"/>
  <c r="DM7" i="10"/>
  <c r="DN7" i="10" l="1"/>
  <c r="DN11" i="10"/>
  <c r="DO11" i="10" l="1"/>
  <c r="DO7" i="10"/>
  <c r="DP11" i="10" l="1"/>
  <c r="DP7" i="10"/>
  <c r="DQ11" i="10" l="1"/>
  <c r="DQ7" i="10"/>
  <c r="DR11" i="10" l="1"/>
  <c r="DR7" i="10"/>
  <c r="DS11" i="10" l="1"/>
  <c r="DS7" i="10"/>
  <c r="DT11" i="10" l="1"/>
  <c r="DT7" i="10"/>
  <c r="DU11" i="10" l="1"/>
  <c r="DU7" i="10"/>
  <c r="DV7" i="10" l="1"/>
  <c r="DV11" i="10"/>
  <c r="DW11" i="10" l="1"/>
  <c r="DW7" i="10"/>
  <c r="DX11" i="10" l="1"/>
  <c r="DX7" i="10"/>
  <c r="DY11" i="10" l="1"/>
  <c r="DY7" i="10"/>
  <c r="DZ11" i="10" l="1"/>
  <c r="DZ7" i="10"/>
  <c r="EA11" i="10" l="1"/>
  <c r="EA7" i="10"/>
  <c r="EB11" i="10" l="1"/>
  <c r="EB7" i="10"/>
  <c r="EC11" i="10" l="1"/>
  <c r="EC7" i="10"/>
  <c r="ED11" i="10" l="1"/>
  <c r="ED7" i="10"/>
  <c r="EE11" i="10" l="1"/>
  <c r="EE7" i="10"/>
  <c r="EF11" i="10" l="1"/>
  <c r="EF7" i="10"/>
  <c r="EG11" i="10" l="1"/>
  <c r="EG7" i="10"/>
  <c r="EH11" i="10" l="1"/>
  <c r="EH7" i="10"/>
  <c r="EI11" i="10" l="1"/>
  <c r="EI7" i="10"/>
  <c r="EJ11" i="10" l="1"/>
  <c r="EJ7" i="10"/>
  <c r="EK11" i="10" l="1"/>
  <c r="EK7" i="10"/>
  <c r="EL7" i="10" l="1"/>
  <c r="EL11" i="10"/>
  <c r="EM11" i="10" l="1"/>
  <c r="EM7" i="10"/>
  <c r="EN11" i="10" l="1"/>
  <c r="EN7" i="10"/>
  <c r="EO11" i="10" l="1"/>
  <c r="EO7" i="10"/>
  <c r="EP11" i="10" l="1"/>
  <c r="EP7" i="10"/>
  <c r="EQ11" i="10" l="1"/>
  <c r="EQ7" i="10"/>
  <c r="ER11" i="10" l="1"/>
  <c r="ER7" i="10"/>
  <c r="ES11" i="10" l="1"/>
  <c r="ES7" i="10"/>
  <c r="ET11" i="10" l="1"/>
  <c r="ET7" i="10"/>
  <c r="EU11" i="10" l="1"/>
  <c r="EU7" i="10"/>
  <c r="EV11" i="10" l="1"/>
  <c r="EV7" i="10"/>
  <c r="EW11" i="10" l="1"/>
  <c r="EW7" i="10"/>
  <c r="EX11" i="10" l="1"/>
  <c r="EX7" i="10"/>
  <c r="EY11" i="10" l="1"/>
  <c r="EY7" i="10"/>
  <c r="EZ11" i="10" l="1"/>
  <c r="EZ7" i="10"/>
  <c r="FA11" i="10" l="1"/>
  <c r="FA7" i="10"/>
  <c r="FB11" i="10" l="1"/>
  <c r="FB7" i="10"/>
  <c r="FC11" i="10" l="1"/>
  <c r="FC7" i="10"/>
  <c r="FD11" i="10" l="1"/>
  <c r="FD7" i="10"/>
  <c r="FE11" i="10" l="1"/>
  <c r="FE7" i="10"/>
  <c r="FF11" i="10" l="1"/>
  <c r="FF7" i="10"/>
  <c r="FG11" i="10" l="1"/>
  <c r="FG7" i="10"/>
  <c r="FH11" i="10" l="1"/>
  <c r="FH7" i="10"/>
  <c r="FI11" i="10" l="1"/>
  <c r="FI7" i="10"/>
  <c r="FJ11" i="10" l="1"/>
  <c r="FJ7" i="10"/>
  <c r="FK11" i="10" l="1"/>
  <c r="FK7" i="10"/>
  <c r="FL11" i="10" l="1"/>
  <c r="FL7" i="10"/>
  <c r="FM11" i="10" l="1"/>
  <c r="FM7" i="10"/>
  <c r="FN11" i="10" l="1"/>
  <c r="FN7" i="10"/>
  <c r="FO11" i="10" l="1"/>
  <c r="FO7" i="10"/>
  <c r="FP11" i="10" l="1"/>
  <c r="FP7" i="10"/>
  <c r="FQ11" i="10" l="1"/>
  <c r="FQ7" i="10"/>
  <c r="FR11" i="10" l="1"/>
  <c r="D14" i="15"/>
  <c r="M13" i="15" l="1"/>
  <c r="D13" i="15"/>
</calcChain>
</file>

<file path=xl/comments1.xml><?xml version="1.0" encoding="utf-8"?>
<comments xmlns="http://schemas.openxmlformats.org/spreadsheetml/2006/main">
  <authors>
    <author>RGL</author>
  </authors>
  <commentList>
    <comment ref="B2" authorId="0">
      <text>
        <r>
          <rPr>
            <b/>
            <sz val="16"/>
            <color indexed="81"/>
            <rFont val="Arial"/>
            <family val="2"/>
          </rPr>
          <t xml:space="preserve">
</t>
        </r>
        <r>
          <rPr>
            <b/>
            <u/>
            <sz val="18"/>
            <color indexed="18"/>
            <rFont val="Arial"/>
            <family val="2"/>
          </rPr>
          <t>Détail, bit par bit des 3 registres</t>
        </r>
        <r>
          <rPr>
            <sz val="12"/>
            <color indexed="81"/>
            <rFont val="Arial"/>
            <family val="2"/>
          </rPr>
          <t xml:space="preserve">
</t>
        </r>
        <r>
          <rPr>
            <b/>
            <sz val="12"/>
            <color indexed="81"/>
            <rFont val="Arial"/>
            <family val="2"/>
          </rPr>
          <t>1.</t>
        </r>
        <r>
          <rPr>
            <b/>
            <u/>
            <sz val="12"/>
            <color indexed="81"/>
            <rFont val="Arial"/>
            <family val="2"/>
          </rPr>
          <t xml:space="preserve"> POINTER</t>
        </r>
        <r>
          <rPr>
            <sz val="10"/>
            <color indexed="14"/>
            <rFont val="Arial"/>
            <family val="2"/>
          </rPr>
          <t xml:space="preserve"> (Write Only)</t>
        </r>
        <r>
          <rPr>
            <sz val="12"/>
            <color indexed="81"/>
            <rFont val="Arial"/>
            <family val="2"/>
          </rPr>
          <t xml:space="preserve">
     Adressage vers le registre Config ou vers le registre de Conversion.
     Utilisé avant de lancer une commande i2c (Hi2Cin ou Hi2cout) de lecture ou d'écriture vers l'un de ces registres. 
</t>
        </r>
        <r>
          <rPr>
            <b/>
            <sz val="12"/>
            <color indexed="81"/>
            <rFont val="Arial"/>
            <family val="2"/>
          </rPr>
          <t xml:space="preserve">2. </t>
        </r>
        <r>
          <rPr>
            <b/>
            <u/>
            <sz val="12"/>
            <color indexed="81"/>
            <rFont val="Arial"/>
            <family val="2"/>
          </rPr>
          <t>CONVERSION</t>
        </r>
        <r>
          <rPr>
            <sz val="10"/>
            <color indexed="81"/>
            <rFont val="Arial"/>
            <family val="2"/>
          </rPr>
          <t xml:space="preserve"> </t>
        </r>
        <r>
          <rPr>
            <sz val="10"/>
            <color indexed="14"/>
            <rFont val="Arial"/>
            <family val="2"/>
          </rPr>
          <t>(Read-Only)</t>
        </r>
        <r>
          <rPr>
            <sz val="12"/>
            <color indexed="81"/>
            <rFont val="Arial"/>
            <family val="2"/>
          </rPr>
          <t xml:space="preserve">
      Conversion de la tension lue en entrée exprimée sur 15/16 bits.
      Le dernier bit15 représente l'éventuel signe négatif.
</t>
        </r>
        <r>
          <rPr>
            <b/>
            <sz val="12"/>
            <color indexed="81"/>
            <rFont val="Arial"/>
            <family val="2"/>
          </rPr>
          <t xml:space="preserve">
3. </t>
        </r>
        <r>
          <rPr>
            <b/>
            <u/>
            <sz val="12"/>
            <color indexed="81"/>
            <rFont val="Arial"/>
            <family val="2"/>
          </rPr>
          <t>CONFIG</t>
        </r>
        <r>
          <rPr>
            <sz val="10"/>
            <color indexed="81"/>
            <rFont val="Arial"/>
            <family val="2"/>
          </rPr>
          <t xml:space="preserve"> </t>
        </r>
        <r>
          <rPr>
            <sz val="10"/>
            <color indexed="14"/>
            <rFont val="Arial"/>
            <family val="2"/>
          </rPr>
          <t>(Read/Write)</t>
        </r>
        <r>
          <rPr>
            <sz val="12"/>
            <color indexed="81"/>
            <rFont val="Arial"/>
            <family val="2"/>
          </rPr>
          <t xml:space="preserve">
      Registre de paramétrage général</t>
        </r>
      </text>
    </comment>
  </commentList>
</comments>
</file>

<file path=xl/comments10.xml><?xml version="1.0" encoding="utf-8"?>
<comments xmlns="http://schemas.openxmlformats.org/spreadsheetml/2006/main">
  <authors>
    <author>RGL</author>
  </authors>
  <commentList>
    <comment ref="A2" authorId="0">
      <text>
        <r>
          <rPr>
            <b/>
            <u/>
            <sz val="18"/>
            <color indexed="81"/>
            <rFont val="Arial"/>
            <family val="2"/>
          </rPr>
          <t>Fonctions logiques Excel sous 16 bits</t>
        </r>
        <r>
          <rPr>
            <sz val="9"/>
            <color indexed="81"/>
            <rFont val="Arial"/>
            <family val="2"/>
          </rPr>
          <t xml:space="preserve">
</t>
        </r>
        <r>
          <rPr>
            <sz val="12"/>
            <color indexed="81"/>
            <rFont val="Arial"/>
            <family val="2"/>
          </rPr>
          <t>Les fonctions logiques BinDec, DecBin, …, de Excel ne gèrent pas plus de 10 bits !
Pour des traitements de valeurs 16 bits, il faut donc combiner diverses formules présentées dans cette page.</t>
        </r>
      </text>
    </comment>
  </commentList>
</comments>
</file>

<file path=xl/comments2.xml><?xml version="1.0" encoding="utf-8"?>
<comments xmlns="http://schemas.openxmlformats.org/spreadsheetml/2006/main">
  <authors>
    <author>RGL</author>
  </authors>
  <commentList>
    <comment ref="B2" authorId="0">
      <text>
        <r>
          <rPr>
            <b/>
            <sz val="16"/>
            <color indexed="81"/>
            <rFont val="Arial"/>
            <family val="2"/>
          </rPr>
          <t xml:space="preserve">
</t>
        </r>
        <r>
          <rPr>
            <b/>
            <u/>
            <sz val="16"/>
            <color indexed="18"/>
            <rFont val="Arial"/>
            <family val="2"/>
          </rPr>
          <t>Cette page indique les paramètres du registre de Configuration
en fonction de la ligne de programmation du Picaxe</t>
        </r>
        <r>
          <rPr>
            <sz val="12"/>
            <color indexed="81"/>
            <rFont val="Arial"/>
            <family val="2"/>
          </rPr>
          <t xml:space="preserve">
Exemple: </t>
        </r>
        <r>
          <rPr>
            <sz val="14"/>
            <color indexed="81"/>
            <rFont val="Arial"/>
            <family val="2"/>
          </rPr>
          <t>hi2cout (</t>
        </r>
        <r>
          <rPr>
            <sz val="14"/>
            <color indexed="60"/>
            <rFont val="Arial"/>
            <family val="2"/>
          </rPr>
          <t>%00000001,%11010100,%10000011</t>
        </r>
        <r>
          <rPr>
            <sz val="14"/>
            <color indexed="81"/>
            <rFont val="Arial"/>
            <family val="2"/>
          </rPr>
          <t>)</t>
        </r>
        <r>
          <rPr>
            <sz val="12"/>
            <color indexed="81"/>
            <rFont val="Arial"/>
            <family val="2"/>
          </rPr>
          <t xml:space="preserve">
1. </t>
        </r>
        <r>
          <rPr>
            <b/>
            <sz val="12"/>
            <color indexed="81"/>
            <rFont val="Arial"/>
            <family val="2"/>
          </rPr>
          <t xml:space="preserve">Copiez </t>
        </r>
        <r>
          <rPr>
            <sz val="12"/>
            <color indexed="81"/>
            <rFont val="Arial"/>
            <family val="2"/>
          </rPr>
          <t xml:space="preserve">les trois groupes de la ligne du programme reprenant les paramètres de configuration qui suivent la commande hi2cout.
2. </t>
        </r>
        <r>
          <rPr>
            <b/>
            <sz val="12"/>
            <color indexed="81"/>
            <rFont val="Arial"/>
            <family val="2"/>
          </rPr>
          <t xml:space="preserve">Collez/Texte </t>
        </r>
        <r>
          <rPr>
            <sz val="12"/>
            <color indexed="81"/>
            <rFont val="Arial"/>
            <family val="2"/>
          </rPr>
          <t>dans la cellule C5.
3. Les paramètres se surlignent en jaune.</t>
        </r>
      </text>
    </comment>
  </commentList>
</comments>
</file>

<file path=xl/comments3.xml><?xml version="1.0" encoding="utf-8"?>
<comments xmlns="http://schemas.openxmlformats.org/spreadsheetml/2006/main">
  <authors>
    <author>RGL</author>
  </authors>
  <commentList>
    <comment ref="C3" authorId="0">
      <text>
        <r>
          <rPr>
            <b/>
            <sz val="16"/>
            <color indexed="81"/>
            <rFont val="Arial"/>
            <family val="2"/>
          </rPr>
          <t xml:space="preserve">
</t>
        </r>
        <r>
          <rPr>
            <b/>
            <u/>
            <sz val="16"/>
            <color indexed="18"/>
            <rFont val="Arial"/>
            <family val="2"/>
          </rPr>
          <t>Cette page simule le résultat du convertisseur ADS1115</t>
        </r>
        <r>
          <rPr>
            <sz val="12"/>
            <color indexed="81"/>
            <rFont val="Arial"/>
            <family val="2"/>
          </rPr>
          <t xml:space="preserve">
1. </t>
        </r>
        <r>
          <rPr>
            <b/>
            <sz val="12"/>
            <color indexed="81"/>
            <rFont val="Arial"/>
            <family val="2"/>
          </rPr>
          <t>Sélectionnez le Gain</t>
        </r>
        <r>
          <rPr>
            <sz val="12"/>
            <color indexed="81"/>
            <rFont val="Arial"/>
            <family val="2"/>
          </rPr>
          <t xml:space="preserve">, dans le menu déroulant, en fonction de la tension d'entrée à mesurer.
    FS (Full Scale) représente la valeur "Pleine échelle" à ne pas dépasser en entrée Vin.
    En cas de dépassement, le résultat "saturé" sera toujours de 32767 (Max de 15 bits </t>
        </r>
        <r>
          <rPr>
            <b/>
            <sz val="20"/>
            <color indexed="10"/>
            <rFont val="Arial"/>
            <family val="2"/>
          </rPr>
          <t>*</t>
        </r>
        <r>
          <rPr>
            <sz val="12"/>
            <color indexed="81"/>
            <rFont val="Arial"/>
            <family val="2"/>
          </rPr>
          <t xml:space="preserve">)
2. </t>
        </r>
        <r>
          <rPr>
            <b/>
            <sz val="12"/>
            <color indexed="81"/>
            <rFont val="Arial"/>
            <family val="2"/>
          </rPr>
          <t>Indiquez la valeur de Vin (en mV entiers, positifs ou négatifs).</t>
        </r>
        <r>
          <rPr>
            <sz val="12"/>
            <color indexed="81"/>
            <rFont val="Arial"/>
            <family val="2"/>
          </rPr>
          <t xml:space="preserve">
    Attention, Vin Max = Vcc +300mV. Au delà, le circuit est grillé !
3. </t>
        </r>
        <r>
          <rPr>
            <b/>
            <sz val="12"/>
            <color indexed="81"/>
            <rFont val="Arial"/>
            <family val="2"/>
          </rPr>
          <t xml:space="preserve">Lire le résultat ADC
</t>
        </r>
        <r>
          <rPr>
            <sz val="12"/>
            <color indexed="81"/>
            <rFont val="Arial"/>
            <family val="2"/>
          </rPr>
          <t xml:space="preserve">
----------------------------------------------------------------------------------------------------------------------------------
</t>
        </r>
        <r>
          <rPr>
            <b/>
            <sz val="20"/>
            <color indexed="10"/>
            <rFont val="Arial"/>
            <family val="2"/>
          </rPr>
          <t>*</t>
        </r>
        <r>
          <rPr>
            <sz val="12"/>
            <color indexed="81"/>
            <rFont val="Arial"/>
            <family val="2"/>
          </rPr>
          <t xml:space="preserve"> Pour traiter les valeurs négatives pouvant survenir lors d'une mesure différentielle, l'ADS1115
    utilise le système de représentation des nombres négatifs en</t>
        </r>
        <r>
          <rPr>
            <b/>
            <sz val="14"/>
            <color indexed="81"/>
            <rFont val="Arial"/>
            <family val="2"/>
          </rPr>
          <t xml:space="preserve"> "Complément à deux"</t>
        </r>
        <r>
          <rPr>
            <sz val="12"/>
            <color indexed="81"/>
            <rFont val="Arial"/>
            <family val="2"/>
          </rPr>
          <t>.
Le complément à deux d'un nombre binaire est égal à l'inverse de ce nombre, plus 1.
     NombreC2 = (</t>
        </r>
        <r>
          <rPr>
            <sz val="18"/>
            <color indexed="81"/>
            <rFont val="Arial"/>
            <family val="2"/>
          </rPr>
          <t>-</t>
        </r>
        <r>
          <rPr>
            <sz val="12"/>
            <color indexed="81"/>
            <rFont val="Arial"/>
            <family val="2"/>
          </rPr>
          <t>Nombre)+1
     Exemple: C2 de (</t>
        </r>
        <r>
          <rPr>
            <b/>
            <sz val="12"/>
            <color indexed="81"/>
            <rFont val="Arial"/>
            <family val="2"/>
          </rPr>
          <t>0101</t>
        </r>
        <r>
          <rPr>
            <sz val="12"/>
            <color indexed="81"/>
            <rFont val="Arial"/>
            <family val="2"/>
          </rPr>
          <t>) est égal à : (</t>
        </r>
        <r>
          <rPr>
            <sz val="12"/>
            <color indexed="60"/>
            <rFont val="Arial"/>
            <family val="2"/>
          </rPr>
          <t>1010</t>
        </r>
        <r>
          <rPr>
            <sz val="12"/>
            <color indexed="81"/>
            <rFont val="Arial"/>
            <family val="2"/>
          </rPr>
          <t xml:space="preserve"> +1) = </t>
        </r>
        <r>
          <rPr>
            <b/>
            <sz val="12"/>
            <color indexed="12"/>
            <rFont val="Arial"/>
            <family val="2"/>
          </rPr>
          <t>1</t>
        </r>
        <r>
          <rPr>
            <b/>
            <sz val="12"/>
            <color indexed="81"/>
            <rFont val="Arial"/>
            <family val="2"/>
          </rPr>
          <t xml:space="preserve">011
</t>
        </r>
        <r>
          <rPr>
            <sz val="12"/>
            <color indexed="81"/>
            <rFont val="Arial"/>
            <family val="2"/>
          </rPr>
          <t>Dans ce système, le bit de poids fort est réservé pour indiquer le signe.
 "</t>
        </r>
        <r>
          <rPr>
            <b/>
            <sz val="12"/>
            <color indexed="12"/>
            <rFont val="Arial"/>
            <family val="2"/>
          </rPr>
          <t>1</t>
        </r>
        <r>
          <rPr>
            <sz val="12"/>
            <color indexed="81"/>
            <rFont val="Arial"/>
            <family val="2"/>
          </rPr>
          <t xml:space="preserve">" représente alors un nombre négatif.
Une valeur positive ne peut donc être exprimée que sur 15 bits.
</t>
        </r>
        <r>
          <rPr>
            <b/>
            <sz val="12"/>
            <color indexed="81"/>
            <rFont val="Arial"/>
            <family val="2"/>
          </rPr>
          <t xml:space="preserve">
</t>
        </r>
      </text>
    </comment>
    <comment ref="E10" authorId="0">
      <text>
        <r>
          <rPr>
            <b/>
            <u/>
            <sz val="14"/>
            <color indexed="81"/>
            <rFont val="Tahoma"/>
            <family val="2"/>
          </rPr>
          <t>Full Scale</t>
        </r>
        <r>
          <rPr>
            <sz val="12"/>
            <color indexed="81"/>
            <rFont val="Tahoma"/>
            <family val="2"/>
          </rPr>
          <t xml:space="preserve">
Tension max donnant
le resultat
ADC= 32767
7FFF
01111111 1111111</t>
        </r>
      </text>
    </comment>
    <comment ref="F10" authorId="0">
      <text>
        <r>
          <rPr>
            <b/>
            <u/>
            <sz val="12"/>
            <color indexed="81"/>
            <rFont val="Tahoma"/>
            <family val="2"/>
          </rPr>
          <t>GAIN</t>
        </r>
      </text>
    </comment>
    <comment ref="G10" authorId="0">
      <text>
        <r>
          <rPr>
            <sz val="12"/>
            <color indexed="81"/>
            <rFont val="Tahoma"/>
            <family val="2"/>
          </rPr>
          <t xml:space="preserve">32767/FS
</t>
        </r>
        <r>
          <rPr>
            <sz val="10"/>
            <color indexed="81"/>
            <rFont val="Tahoma"/>
            <family val="2"/>
          </rPr>
          <t>32767 = max</t>
        </r>
        <r>
          <rPr>
            <b/>
            <u/>
            <sz val="10"/>
            <color indexed="81"/>
            <rFont val="Tahoma"/>
            <family val="2"/>
          </rPr>
          <t xml:space="preserve"> sur 15 bits</t>
        </r>
        <r>
          <rPr>
            <sz val="10"/>
            <color indexed="81"/>
            <rFont val="Tahoma"/>
            <family val="2"/>
          </rPr>
          <t>.
Le 16eme bit est le signe '-'</t>
        </r>
      </text>
    </comment>
    <comment ref="H10" authorId="0">
      <text>
        <r>
          <rPr>
            <b/>
            <u/>
            <sz val="12"/>
            <color indexed="81"/>
            <rFont val="Tahoma"/>
            <family val="2"/>
          </rPr>
          <t>Précision</t>
        </r>
        <r>
          <rPr>
            <sz val="12"/>
            <color indexed="81"/>
            <rFont val="Tahoma"/>
            <family val="2"/>
          </rPr>
          <t xml:space="preserve">
</t>
        </r>
        <r>
          <rPr>
            <sz val="10"/>
            <color indexed="81"/>
            <rFont val="Tahoma"/>
            <family val="2"/>
          </rPr>
          <t>Nombre de divisions par mV</t>
        </r>
      </text>
    </comment>
    <comment ref="I10" authorId="0">
      <text>
        <r>
          <rPr>
            <b/>
            <u/>
            <sz val="12"/>
            <color indexed="81"/>
            <rFont val="Tahoma"/>
            <family val="2"/>
          </rPr>
          <t>Précision</t>
        </r>
        <r>
          <rPr>
            <sz val="12"/>
            <color indexed="81"/>
            <rFont val="Tahoma"/>
            <family val="2"/>
          </rPr>
          <t xml:space="preserve">
</t>
        </r>
        <r>
          <rPr>
            <sz val="10"/>
            <color indexed="81"/>
            <rFont val="Tahoma"/>
            <family val="2"/>
          </rPr>
          <t>Une unité ADC vaut autant de µV
Maximum d'unités = 32767 (15 bits)</t>
        </r>
      </text>
    </comment>
    <comment ref="E11" authorId="0">
      <text>
        <r>
          <rPr>
            <sz val="12"/>
            <color indexed="81"/>
            <rFont val="Arial"/>
            <family val="2"/>
          </rPr>
          <t>Attention, Vin Max ne peut
jamais dépasser 5V au risque
de détruire le circuit !
La valeur "pleine échelle" ne sera donc ici jamais atteinte.</t>
        </r>
      </text>
    </comment>
  </commentList>
</comments>
</file>

<file path=xl/comments4.xml><?xml version="1.0" encoding="utf-8"?>
<comments xmlns="http://schemas.openxmlformats.org/spreadsheetml/2006/main">
  <authors>
    <author>RGL</author>
  </authors>
  <commentList>
    <comment ref="B2" authorId="0">
      <text>
        <r>
          <rPr>
            <b/>
            <sz val="16"/>
            <color indexed="81"/>
            <rFont val="Arial"/>
            <family val="2"/>
          </rPr>
          <t xml:space="preserve">
</t>
        </r>
        <r>
          <rPr>
            <b/>
            <u/>
            <sz val="18"/>
            <color indexed="18"/>
            <rFont val="Arial"/>
            <family val="2"/>
          </rPr>
          <t>Valeurs du registre ADC</t>
        </r>
        <r>
          <rPr>
            <sz val="12"/>
            <color indexed="81"/>
            <rFont val="Arial"/>
            <family val="2"/>
          </rPr>
          <t xml:space="preserve">
Cette feuille donne un aperçu des valeurs lues dans le registre ADC pour l'ensemble d'une gamme considérée en Full Scale.
Les valeurs négatives ne seront évidemment possibles qu'en Mode Lecture Différentielle.
</t>
        </r>
        <r>
          <rPr>
            <sz val="36"/>
            <color indexed="81"/>
            <rFont val="Wingdings"/>
            <charset val="2"/>
          </rPr>
          <t>?</t>
        </r>
        <r>
          <rPr>
            <b/>
            <sz val="14"/>
            <color indexed="81"/>
            <rFont val="Arial"/>
            <family val="2"/>
          </rPr>
          <t xml:space="preserve"> Introduisez une valeur décimale comprise entre -32768 et +32767.</t>
        </r>
        <r>
          <rPr>
            <sz val="12"/>
            <color indexed="81"/>
            <rFont val="Arial"/>
            <family val="2"/>
          </rPr>
          <t xml:space="preserve">
                Elle sera convertie en format HEX et BIN 'Complément à deux'.
Introduire une valeur négative ne sert qu'à indiquer qu'on simule une tension négative !
En effet, les valeurs lues dans le registre de conversion de l'ADC seront toujours positives et varieront ainsi de 0 à 65535 !</t>
        </r>
      </text>
    </comment>
    <comment ref="E10" authorId="0">
      <text>
        <r>
          <rPr>
            <sz val="12"/>
            <color indexed="81"/>
            <rFont val="Arial"/>
            <family val="2"/>
          </rPr>
          <t>Introduisez une valeur décimale comprise entre -32768 et +32767.
Elle sera convertie en format HEX et BIN 'Complément à deux'.
Introduire une valeur négative ne sert qu'à indiquer qu'on simule une tension négative !
En effet, les valeurs lues dans le registre de conversion de l'ADC varieront de 0 à 65535 !</t>
        </r>
      </text>
    </comment>
    <comment ref="G11" authorId="0">
      <text>
        <r>
          <rPr>
            <sz val="12"/>
            <color indexed="81"/>
            <rFont val="Arial"/>
            <family val="2"/>
          </rPr>
          <t>Colonne intermédiaire
pour calcul du BIN'C2'</t>
        </r>
      </text>
    </comment>
    <comment ref="H11" authorId="0">
      <text>
        <r>
          <rPr>
            <sz val="12"/>
            <color indexed="81"/>
            <rFont val="Arial"/>
            <family val="2"/>
          </rPr>
          <t>Calcul au départ
du BIN'C2'</t>
        </r>
      </text>
    </comment>
    <comment ref="E12" authorId="0">
      <text>
        <r>
          <rPr>
            <b/>
            <sz val="12"/>
            <color indexed="81"/>
            <rFont val="Arial"/>
            <family val="2"/>
          </rPr>
          <t>Valeur MAXIMALE</t>
        </r>
      </text>
    </comment>
    <comment ref="H12" authorId="0">
      <text>
        <r>
          <rPr>
            <b/>
            <sz val="12"/>
            <color indexed="81"/>
            <rFont val="Arial"/>
            <family val="2"/>
          </rPr>
          <t>ADC pour
Vin Positif MAX</t>
        </r>
      </text>
    </comment>
    <comment ref="E70" authorId="0">
      <text>
        <r>
          <rPr>
            <b/>
            <sz val="12"/>
            <color indexed="81"/>
            <rFont val="Arial"/>
            <family val="2"/>
          </rPr>
          <t>Valeur MINIMALE</t>
        </r>
      </text>
    </comment>
    <comment ref="H70" authorId="0">
      <text>
        <r>
          <rPr>
            <b/>
            <sz val="12"/>
            <color indexed="81"/>
            <rFont val="Arial"/>
            <family val="2"/>
          </rPr>
          <t>ADC pour Vin
Négatif MAX</t>
        </r>
      </text>
    </comment>
  </commentList>
</comments>
</file>

<file path=xl/comments5.xml><?xml version="1.0" encoding="utf-8"?>
<comments xmlns="http://schemas.openxmlformats.org/spreadsheetml/2006/main">
  <authors>
    <author>RGL</author>
  </authors>
  <commentList>
    <comment ref="B2" authorId="0">
      <text>
        <r>
          <rPr>
            <b/>
            <u/>
            <sz val="20"/>
            <color indexed="81"/>
            <rFont val="Arial"/>
            <family val="2"/>
          </rPr>
          <t xml:space="preserve"> Analyse du facteur PGA </t>
        </r>
        <r>
          <rPr>
            <b/>
            <u/>
            <sz val="14"/>
            <color indexed="81"/>
            <rFont val="Arial"/>
            <family val="2"/>
          </rPr>
          <t>(Programmable Gain Amplifier)</t>
        </r>
        <r>
          <rPr>
            <sz val="9"/>
            <color indexed="81"/>
            <rFont val="Tahoma"/>
            <family val="2"/>
          </rPr>
          <t xml:space="preserve">
</t>
        </r>
        <r>
          <rPr>
            <sz val="14"/>
            <color indexed="81"/>
            <rFont val="Arial"/>
            <family val="2"/>
          </rPr>
          <t xml:space="preserve">  - Calcule la précison (valeur d'un "Step ADC") en fonction de la valeur de Full Scale choisie.
  - Calcule la tension positive appliquée en fonction de la valeur ADC (MSB, LSB) introduite.</t>
        </r>
      </text>
    </comment>
    <comment ref="B28" authorId="0">
      <text>
        <r>
          <rPr>
            <sz val="12"/>
            <color indexed="81"/>
            <rFont val="Arial"/>
            <family val="2"/>
          </rPr>
          <t>Valeurs issues du DataSheet</t>
        </r>
      </text>
    </comment>
    <comment ref="E28" authorId="0">
      <text>
        <r>
          <rPr>
            <sz val="12"/>
            <color indexed="81"/>
            <rFont val="Arial"/>
            <family val="2"/>
          </rPr>
          <t>Valeurs issues du DataSheet</t>
        </r>
      </text>
    </comment>
  </commentList>
</comments>
</file>

<file path=xl/comments6.xml><?xml version="1.0" encoding="utf-8"?>
<comments xmlns="http://schemas.openxmlformats.org/spreadsheetml/2006/main">
  <authors>
    <author>RGL</author>
  </authors>
  <commentList>
    <comment ref="B2" authorId="0">
      <text>
        <r>
          <rPr>
            <sz val="14"/>
            <color indexed="81"/>
            <rFont val="Arial"/>
            <family val="2"/>
          </rPr>
          <t>Exemple de programme initial issu du Forum Picaxe GB</t>
        </r>
      </text>
    </comment>
  </commentList>
</comments>
</file>

<file path=xl/comments7.xml><?xml version="1.0" encoding="utf-8"?>
<comments xmlns="http://schemas.openxmlformats.org/spreadsheetml/2006/main">
  <authors>
    <author>RGL</author>
  </authors>
  <commentList>
    <comment ref="B3" authorId="0">
      <text>
        <r>
          <rPr>
            <b/>
            <sz val="14"/>
            <color indexed="81"/>
            <rFont val="Arial"/>
            <family val="2"/>
          </rPr>
          <t xml:space="preserve">
</t>
        </r>
        <r>
          <rPr>
            <b/>
            <sz val="18"/>
            <color indexed="81"/>
            <rFont val="Arial"/>
            <family val="2"/>
          </rPr>
          <t xml:space="preserve">   </t>
        </r>
        <r>
          <rPr>
            <b/>
            <u/>
            <sz val="18"/>
            <color indexed="81"/>
            <rFont val="Arial"/>
            <family val="2"/>
          </rPr>
          <t>Simulation comportementale du capteur de température TMP37 (5 à 100 °C)</t>
        </r>
        <r>
          <rPr>
            <b/>
            <u/>
            <sz val="14"/>
            <color indexed="81"/>
            <rFont val="Arial"/>
            <family val="2"/>
          </rPr>
          <t xml:space="preserve">
</t>
        </r>
        <r>
          <rPr>
            <sz val="12"/>
            <color indexed="81"/>
            <rFont val="Arial"/>
            <family val="2"/>
          </rPr>
          <t xml:space="preserve">
   -1.  Sélectionner la valeur de PGA (Programmable Gain Amplifier) qui déterminera la valeur de Full Scale
   -2.  Introduisez les valeurs ADC (MSB et LSB)
  Le simulateur calcule les valeurs mV et °C de facon exacte, mais aussi à la manière d'un Picaxe qui ne gère pas les décimales.</t>
        </r>
      </text>
    </comment>
    <comment ref="C8" authorId="0">
      <text>
        <r>
          <rPr>
            <b/>
            <sz val="14"/>
            <color indexed="81"/>
            <rFont val="Arial"/>
            <family val="2"/>
          </rPr>
          <t>= 2/3</t>
        </r>
      </text>
    </comment>
    <comment ref="H9" authorId="0">
      <text>
        <r>
          <rPr>
            <u/>
            <sz val="11"/>
            <color indexed="81"/>
            <rFont val="Arial"/>
            <family val="2"/>
          </rPr>
          <t>Règle de trois:</t>
        </r>
        <r>
          <rPr>
            <sz val="11"/>
            <color indexed="81"/>
            <rFont val="Arial"/>
            <family val="2"/>
          </rPr>
          <t xml:space="preserve">
(32767 x Vin) / FS
</t>
        </r>
        <r>
          <rPr>
            <sz val="10"/>
            <color indexed="81"/>
            <rFont val="Arial"/>
            <family val="2"/>
          </rPr>
          <t xml:space="preserve">Coef = 32767/FS
</t>
        </r>
        <r>
          <rPr>
            <b/>
            <sz val="12"/>
            <color indexed="81"/>
            <rFont val="Arial"/>
            <family val="2"/>
          </rPr>
          <t>ADC = Vin x Coef</t>
        </r>
      </text>
    </comment>
    <comment ref="H10" authorId="0">
      <text>
        <r>
          <rPr>
            <b/>
            <sz val="12"/>
            <color indexed="53"/>
            <rFont val="Arial"/>
            <family val="2"/>
          </rPr>
          <t>Valeurs invariables fixées par le TMP37</t>
        </r>
      </text>
    </comment>
    <comment ref="H29" authorId="0">
      <text>
        <r>
          <rPr>
            <sz val="12"/>
            <color indexed="81"/>
            <rFont val="Arial"/>
            <family val="2"/>
          </rPr>
          <t>Voir détail
ci-dessous</t>
        </r>
      </text>
    </comment>
  </commentList>
</comments>
</file>

<file path=xl/comments8.xml><?xml version="1.0" encoding="utf-8"?>
<comments xmlns="http://schemas.openxmlformats.org/spreadsheetml/2006/main">
  <authors>
    <author>RGL</author>
  </authors>
  <commentList>
    <comment ref="B3" authorId="0">
      <text>
        <r>
          <rPr>
            <b/>
            <sz val="14"/>
            <color indexed="81"/>
            <rFont val="Arial"/>
            <family val="2"/>
          </rPr>
          <t xml:space="preserve">
</t>
        </r>
        <r>
          <rPr>
            <b/>
            <sz val="18"/>
            <color indexed="81"/>
            <rFont val="Arial"/>
            <family val="2"/>
          </rPr>
          <t xml:space="preserve">   </t>
        </r>
        <r>
          <rPr>
            <b/>
            <u/>
            <sz val="18"/>
            <color indexed="81"/>
            <rFont val="Arial"/>
            <family val="2"/>
          </rPr>
          <t>Simulation comportementale du capteur de température TMP36 (-40 à 125°C)</t>
        </r>
        <r>
          <rPr>
            <b/>
            <u/>
            <sz val="14"/>
            <color indexed="81"/>
            <rFont val="Arial"/>
            <family val="2"/>
          </rPr>
          <t xml:space="preserve">
</t>
        </r>
        <r>
          <rPr>
            <sz val="12"/>
            <color indexed="81"/>
            <rFont val="Arial"/>
            <family val="2"/>
          </rPr>
          <t xml:space="preserve">
   -1.  Sélectionner la valeur de PGA (Programmable Gain Amplifier) qui déterminera la valeur de Full Scale
   -2.  Introduisez les valeurs ADC (MSB et LSB)
  Le simulateur calcule les valeurs mV et °C de facon exacte, mais aussi à la manière d'un Picaxe qui ne gère pas les décimales.
  Le programme Picaxe devra comprendre une boucle conditionnelle de traitement pour les températures négatives ( IF (ADC/PGA) &lt; 4000 ...)</t>
        </r>
      </text>
    </comment>
    <comment ref="C8" authorId="0">
      <text>
        <r>
          <rPr>
            <b/>
            <sz val="14"/>
            <color indexed="81"/>
            <rFont val="Arial"/>
            <family val="2"/>
          </rPr>
          <t>= 2/3</t>
        </r>
      </text>
    </comment>
    <comment ref="H9" authorId="0">
      <text>
        <r>
          <rPr>
            <u/>
            <sz val="11"/>
            <color indexed="81"/>
            <rFont val="Arial"/>
            <family val="2"/>
          </rPr>
          <t>Règle de trois:</t>
        </r>
        <r>
          <rPr>
            <sz val="11"/>
            <color indexed="81"/>
            <rFont val="Arial"/>
            <family val="2"/>
          </rPr>
          <t xml:space="preserve">
(32767 x Vin) / FS
</t>
        </r>
        <r>
          <rPr>
            <sz val="10"/>
            <color indexed="81"/>
            <rFont val="Arial"/>
            <family val="2"/>
          </rPr>
          <t xml:space="preserve">Coef = 32767/FS
</t>
        </r>
        <r>
          <rPr>
            <b/>
            <sz val="12"/>
            <color indexed="81"/>
            <rFont val="Arial"/>
            <family val="2"/>
          </rPr>
          <t>ADC = Vin x Coef</t>
        </r>
      </text>
    </comment>
    <comment ref="H29" authorId="0">
      <text>
        <r>
          <rPr>
            <sz val="12"/>
            <color indexed="81"/>
            <rFont val="Arial"/>
            <family val="2"/>
          </rPr>
          <t>Voir détail
ci-dessous</t>
        </r>
      </text>
    </comment>
  </commentList>
</comments>
</file>

<file path=xl/comments9.xml><?xml version="1.0" encoding="utf-8"?>
<comments xmlns="http://schemas.openxmlformats.org/spreadsheetml/2006/main">
  <authors>
    <author>Auteur</author>
  </authors>
  <commentList>
    <comment ref="I2" authorId="0">
      <text>
        <r>
          <rPr>
            <b/>
            <sz val="10"/>
            <color indexed="81"/>
            <rFont val="Tahoma"/>
            <family val="2"/>
          </rPr>
          <t>Formule différente des suivantes car il n'y a pas de retenue à ajouter(juste la valeur 1</t>
        </r>
      </text>
    </comment>
    <comment ref="J2" authorId="0">
      <text>
        <r>
          <rPr>
            <b/>
            <sz val="10"/>
            <color indexed="81"/>
            <rFont val="Tahoma"/>
            <family val="2"/>
          </rPr>
          <t>Formule différente des suivantes car il n'y a pas de retenue à ajouter (juste la valeur 1)</t>
        </r>
      </text>
    </comment>
  </commentList>
</comments>
</file>

<file path=xl/sharedStrings.xml><?xml version="1.0" encoding="utf-8"?>
<sst xmlns="http://schemas.openxmlformats.org/spreadsheetml/2006/main" count="885" uniqueCount="465">
  <si>
    <t>Bit15</t>
  </si>
  <si>
    <t>Bit14</t>
  </si>
  <si>
    <t>Bit13</t>
  </si>
  <si>
    <t>Bit12</t>
  </si>
  <si>
    <t>Bit11</t>
  </si>
  <si>
    <t>Bit10</t>
  </si>
  <si>
    <t>Bit9</t>
  </si>
  <si>
    <t>Bit8</t>
  </si>
  <si>
    <t>Bit7</t>
  </si>
  <si>
    <t>Bit6</t>
  </si>
  <si>
    <t>Bit5</t>
  </si>
  <si>
    <t>Bit4</t>
  </si>
  <si>
    <t>Bit3</t>
  </si>
  <si>
    <t>Bit2</t>
  </si>
  <si>
    <t>Bit1</t>
  </si>
  <si>
    <t>Bit0</t>
  </si>
  <si>
    <t>CONFIG</t>
  </si>
  <si>
    <t>OS</t>
  </si>
  <si>
    <t>MUX2</t>
  </si>
  <si>
    <t>MUX1</t>
  </si>
  <si>
    <t>MUX0</t>
  </si>
  <si>
    <t>PGA2</t>
  </si>
  <si>
    <t>PGA1</t>
  </si>
  <si>
    <t>PGA0</t>
  </si>
  <si>
    <t>MODE</t>
  </si>
  <si>
    <t>DR2</t>
  </si>
  <si>
    <t>DR1</t>
  </si>
  <si>
    <t>DR0</t>
  </si>
  <si>
    <t>COMP_MODE</t>
  </si>
  <si>
    <t>COMP_POL</t>
  </si>
  <si>
    <t>COMP_LAT</t>
  </si>
  <si>
    <t>COMP_QUE1</t>
  </si>
  <si>
    <t>COMP_QUE0</t>
  </si>
  <si>
    <t>Default</t>
  </si>
  <si>
    <t>GND</t>
  </si>
  <si>
    <t>VDD</t>
  </si>
  <si>
    <t>SDA</t>
  </si>
  <si>
    <t>SCL</t>
  </si>
  <si>
    <t>POINTER</t>
  </si>
  <si>
    <t>CONVERSION</t>
  </si>
  <si>
    <t>Register address</t>
  </si>
  <si>
    <t>0  0 : Reg. Conversion</t>
  </si>
  <si>
    <t>0  1 : Reg. CONFIG</t>
  </si>
  <si>
    <t>1  0 : Low-Thresh Reg.</t>
  </si>
  <si>
    <t>1  0 : High-Thresh Reg.</t>
  </si>
  <si>
    <t>Write-Only</t>
  </si>
  <si>
    <t>Read-Only</t>
  </si>
  <si>
    <t>Read-Write</t>
  </si>
  <si>
    <t>Operating Status
Single-Shot conversion start</t>
  </si>
  <si>
    <t>Programmable Gain Amplifier Configuration</t>
  </si>
  <si>
    <t>Input Multiplexer Configuration</t>
  </si>
  <si>
    <t>Device Operating Mode</t>
  </si>
  <si>
    <t>Data Rate</t>
  </si>
  <si>
    <t>Comparator Mode</t>
  </si>
  <si>
    <t>Comparator Polarity</t>
  </si>
  <si>
    <t>Latching Comparator</t>
  </si>
  <si>
    <t>Comparator Queue and Disable</t>
  </si>
  <si>
    <t>0: No effet</t>
  </si>
  <si>
    <t>1: Begin single conv.</t>
  </si>
  <si>
    <t>(when in power down mode)</t>
  </si>
  <si>
    <t>For a Read Status</t>
  </si>
  <si>
    <t>For a Write Status</t>
  </si>
  <si>
    <t>0: Device is currently performing</t>
  </si>
  <si>
    <t xml:space="preserve">     a conversion ADS1115</t>
  </si>
  <si>
    <t>1: Device is not currently performing</t>
  </si>
  <si>
    <t xml:space="preserve">    conv. Mode</t>
  </si>
  <si>
    <t>1 : Power-down</t>
  </si>
  <si>
    <t>single shot mode</t>
  </si>
  <si>
    <t>(Default)</t>
  </si>
  <si>
    <t>0 : Active Low</t>
  </si>
  <si>
    <t>1 : Active High</t>
  </si>
  <si>
    <t>0 : No Latching</t>
  </si>
  <si>
    <t xml:space="preserve">   Comparator</t>
  </si>
  <si>
    <t>1 : Latching</t>
  </si>
  <si>
    <t xml:space="preserve">    Comparator</t>
  </si>
  <si>
    <t>0 : Traditional</t>
  </si>
  <si>
    <t>comparator with</t>
  </si>
  <si>
    <t>hysteresis</t>
  </si>
  <si>
    <t>1 : Window</t>
  </si>
  <si>
    <t>D15</t>
  </si>
  <si>
    <t>D14</t>
  </si>
  <si>
    <t>D13</t>
  </si>
  <si>
    <t>D12</t>
  </si>
  <si>
    <t>D11</t>
  </si>
  <si>
    <t>D10</t>
  </si>
  <si>
    <t>D9</t>
  </si>
  <si>
    <t>D8</t>
  </si>
  <si>
    <t>D7</t>
  </si>
  <si>
    <t>D6</t>
  </si>
  <si>
    <t>D5</t>
  </si>
  <si>
    <t>D4</t>
  </si>
  <si>
    <t>D3</t>
  </si>
  <si>
    <t>D2</t>
  </si>
  <si>
    <t>D1</t>
  </si>
  <si>
    <t>D0</t>
  </si>
  <si>
    <t>00 : Assert after one conversion</t>
  </si>
  <si>
    <t>01 : Assert after two conversions</t>
  </si>
  <si>
    <t>10 : Assert after four conversions</t>
  </si>
  <si>
    <t>11 : Disable comparator (default)</t>
  </si>
  <si>
    <t>000 : 8 SPS</t>
  </si>
  <si>
    <t>001 : 16 SPS</t>
  </si>
  <si>
    <t>010 : 32 SPS</t>
  </si>
  <si>
    <t>011 : 64 SPS</t>
  </si>
  <si>
    <t>100 : 128 SPS (default)</t>
  </si>
  <si>
    <t>101 : 250 SPS</t>
  </si>
  <si>
    <t>110 : 475 SPS</t>
  </si>
  <si>
    <t>111 : 860 SPS</t>
  </si>
  <si>
    <t>000 : AINP = AIN0 and AINN = AIN1 (default)</t>
  </si>
  <si>
    <t xml:space="preserve">000 : FS = ±6.144V(1) </t>
  </si>
  <si>
    <t>(1) This parameter expresses the full-scale range of the ADC scaling. In no event should more than VDD + 0.3V be applied to this device.</t>
  </si>
  <si>
    <t xml:space="preserve">001 : FS = ±4.096V(1) </t>
  </si>
  <si>
    <t xml:space="preserve">010 : FS = ±2.048V (default) </t>
  </si>
  <si>
    <t xml:space="preserve">011 : FS = ±1.024V </t>
  </si>
  <si>
    <t>100 : FS = ±0.512V</t>
  </si>
  <si>
    <t>101 : FS = ±0.256V</t>
  </si>
  <si>
    <t>110 : FS = ±0.256V</t>
  </si>
  <si>
    <t>111 : FS = ±0.256V</t>
  </si>
  <si>
    <t>Only 0 allowed</t>
  </si>
  <si>
    <t>LSB</t>
  </si>
  <si>
    <t>MSB</t>
  </si>
  <si>
    <t>0 : Continuous</t>
  </si>
  <si>
    <t>Write status:  1: Begin single conv.</t>
  </si>
  <si>
    <r>
      <t xml:space="preserve">(1) Ce paramètre exprime la plage complète de la mise à l'échelle du CAN. </t>
    </r>
    <r>
      <rPr>
        <b/>
        <sz val="11"/>
        <color rgb="FFFF0000"/>
        <rFont val="Arial"/>
        <family val="2"/>
      </rPr>
      <t>En aucun cas, plus de</t>
    </r>
    <r>
      <rPr>
        <b/>
        <u/>
        <sz val="11"/>
        <color rgb="FFFF0000"/>
        <rFont val="Arial"/>
        <family val="2"/>
      </rPr>
      <t xml:space="preserve"> VDD + 0.3V</t>
    </r>
    <r>
      <rPr>
        <b/>
        <sz val="11"/>
        <color rgb="FFFF0000"/>
        <rFont val="Arial"/>
        <family val="2"/>
      </rPr>
      <t xml:space="preserve"> ne doit être appliqué à cet appareil.</t>
    </r>
  </si>
  <si>
    <t>Code:</t>
  </si>
  <si>
    <t>debug</t>
  </si>
  <si>
    <t>main_read:</t>
  </si>
  <si>
    <t>Troisième octet: 0b10000100 (MSB du registre de configuration à écrire) </t>
  </si>
  <si>
    <t>Quatrième octet: 0b10000011 (LSB du registre de configuration) à écrire) </t>
  </si>
  <si>
    <t>Voici comment j'ai implémenté le code.</t>
  </si>
  <si>
    <t>0x.00</t>
  </si>
  <si>
    <t>0x.01</t>
  </si>
  <si>
    <r>
      <rPr>
        <sz val="14"/>
        <color rgb="FF0000FF"/>
        <rFont val="Arial"/>
        <family val="2"/>
      </rPr>
      <t xml:space="preserve">1001000 </t>
    </r>
    <r>
      <rPr>
        <sz val="14"/>
        <color theme="1"/>
        <rFont val="Arial"/>
        <family val="2"/>
      </rPr>
      <t xml:space="preserve">  d.72   0x.48</t>
    </r>
  </si>
  <si>
    <r>
      <rPr>
        <sz val="14"/>
        <color rgb="FF0000FF"/>
        <rFont val="Arial"/>
        <family val="2"/>
      </rPr>
      <t>1001001</t>
    </r>
    <r>
      <rPr>
        <sz val="14"/>
        <color theme="1"/>
        <rFont val="Arial"/>
        <family val="2"/>
      </rPr>
      <t xml:space="preserve">   d.73   0x.49</t>
    </r>
  </si>
  <si>
    <r>
      <rPr>
        <sz val="14"/>
        <color rgb="FF0000FF"/>
        <rFont val="Arial"/>
        <family val="2"/>
      </rPr>
      <t>1001010</t>
    </r>
    <r>
      <rPr>
        <sz val="14"/>
        <color theme="1"/>
        <rFont val="Arial"/>
        <family val="2"/>
      </rPr>
      <t xml:space="preserve">   d.74   0x.4A</t>
    </r>
  </si>
  <si>
    <r>
      <rPr>
        <sz val="14"/>
        <color rgb="FF0000FF"/>
        <rFont val="Arial"/>
        <family val="2"/>
      </rPr>
      <t>1001011</t>
    </r>
    <r>
      <rPr>
        <sz val="14"/>
        <color theme="1"/>
        <rFont val="Arial"/>
        <family val="2"/>
      </rPr>
      <t xml:space="preserve">   d.75   0x.4B</t>
    </r>
  </si>
  <si>
    <t>conv. Mode</t>
  </si>
  <si>
    <r>
      <rPr>
        <b/>
        <u/>
        <sz val="11"/>
        <color rgb="FFC00000"/>
        <rFont val="Arial"/>
        <family val="2"/>
      </rPr>
      <t>Ecrire</t>
    </r>
    <r>
      <rPr>
        <b/>
        <u/>
        <sz val="11"/>
        <color rgb="FF141414"/>
        <rFont val="Arial"/>
        <family val="2"/>
      </rPr>
      <t xml:space="preserve"> dans le registre de configuration:</t>
    </r>
  </si>
  <si>
    <r>
      <t>Deuxième octet: 0b</t>
    </r>
    <r>
      <rPr>
        <b/>
        <sz val="11"/>
        <color rgb="FF7030A0"/>
        <rFont val="Arial"/>
        <family val="2"/>
      </rPr>
      <t>00000001</t>
    </r>
    <r>
      <rPr>
        <sz val="11"/>
        <color rgb="FF141414"/>
        <rFont val="Arial"/>
        <family val="2"/>
      </rPr>
      <t xml:space="preserve"> (pointe sur le</t>
    </r>
    <r>
      <rPr>
        <sz val="11"/>
        <color rgb="FF7030A0"/>
        <rFont val="Arial"/>
        <family val="2"/>
      </rPr>
      <t xml:space="preserve"> registre de configuration</t>
    </r>
    <r>
      <rPr>
        <sz val="11"/>
        <color rgb="FF141414"/>
        <rFont val="Arial"/>
        <family val="2"/>
      </rPr>
      <t>). </t>
    </r>
  </si>
  <si>
    <r>
      <rPr>
        <b/>
        <u/>
        <sz val="11"/>
        <color rgb="FFC00000"/>
        <rFont val="Arial"/>
        <family val="2"/>
      </rPr>
      <t xml:space="preserve">Ecrire </t>
    </r>
    <r>
      <rPr>
        <b/>
        <u/>
        <sz val="11"/>
        <color rgb="FF141414"/>
        <rFont val="Arial"/>
        <family val="2"/>
      </rPr>
      <t>au registre de pointeur:</t>
    </r>
  </si>
  <si>
    <r>
      <rPr>
        <b/>
        <u/>
        <sz val="11"/>
        <color theme="9" tint="-0.249977111117893"/>
        <rFont val="Arial"/>
        <family val="2"/>
      </rPr>
      <t>Lire</t>
    </r>
    <r>
      <rPr>
        <b/>
        <u/>
        <sz val="11"/>
        <color rgb="FF141414"/>
        <rFont val="Arial"/>
        <family val="2"/>
      </rPr>
      <t xml:space="preserve"> Conversion registre:</t>
    </r>
  </si>
  <si>
    <t>Deuxième octet: la réponse ADS1113/4/5 avec le MSB du registre de conversion. </t>
  </si>
  <si>
    <t>Troisième octet: la réponse ADS1113/4/5 avec le LSB du registre de conversion. </t>
  </si>
  <si>
    <t>Je suppose que le premier octet mentionné à chaque étape (l'adresse du périphérique) est pris en charge par la ligne de commande hi2csetup). ??</t>
  </si>
  <si>
    <r>
      <t>Deuxième octet: 0b</t>
    </r>
    <r>
      <rPr>
        <b/>
        <sz val="11"/>
        <color rgb="FF7030A0"/>
        <rFont val="Arial"/>
        <family val="2"/>
      </rPr>
      <t>00000000</t>
    </r>
    <r>
      <rPr>
        <sz val="11"/>
        <color rgb="FF141414"/>
        <rFont val="Arial"/>
        <family val="2"/>
      </rPr>
      <t xml:space="preserve"> (points à </t>
    </r>
    <r>
      <rPr>
        <sz val="11"/>
        <color rgb="FF7030A0"/>
        <rFont val="Arial"/>
        <family val="2"/>
      </rPr>
      <t>registre de conversion</t>
    </r>
    <r>
      <rPr>
        <sz val="11"/>
        <color rgb="FF141414"/>
        <rFont val="Arial"/>
        <family val="2"/>
      </rPr>
      <t>) </t>
    </r>
  </si>
  <si>
    <t>ADS1115 - ADC 16bits - i2C</t>
  </si>
  <si>
    <t>mV</t>
  </si>
  <si>
    <t>Bits [11:9]</t>
  </si>
  <si>
    <t>000</t>
  </si>
  <si>
    <t>010 (Default)</t>
  </si>
  <si>
    <t>PGA</t>
  </si>
  <si>
    <t>101 / 110 / 111</t>
  </si>
  <si>
    <t>PGA Configuration</t>
  </si>
  <si>
    <r>
      <t xml:space="preserve">010 : FS = ±2.048V (default) </t>
    </r>
    <r>
      <rPr>
        <sz val="11"/>
        <color theme="9" tint="-0.249977111117893"/>
        <rFont val="Arial"/>
        <family val="2"/>
      </rPr>
      <t>= 0,0625 mV/bit</t>
    </r>
  </si>
  <si>
    <t>001</t>
  </si>
  <si>
    <t>011</t>
  </si>
  <si>
    <t>100</t>
  </si>
  <si>
    <t>µV</t>
  </si>
  <si>
    <t>1 = Read</t>
  </si>
  <si>
    <t>0 = Write</t>
  </si>
  <si>
    <t>i2c Addr. +</t>
  </si>
  <si>
    <t>V</t>
  </si>
  <si>
    <t>mV/bit = Full Scale /32767)</t>
  </si>
  <si>
    <t>For a Write Status (0)</t>
  </si>
  <si>
    <t>For a Read Status (1)</t>
  </si>
  <si>
    <t>Adresse Reg. Config (%00000001) + MSB + LSB</t>
  </si>
  <si>
    <t>hi2cout</t>
  </si>
  <si>
    <t>Contrôle du registre de CONFIGURATION</t>
  </si>
  <si>
    <t>?</t>
  </si>
  <si>
    <t>Picaxe Specifications</t>
  </si>
  <si>
    <t>https://picaxeforum.co.uk/threads/ads1115-a-d-converter-problem.31530/</t>
  </si>
  <si>
    <r>
      <t>symbol</t>
    </r>
    <r>
      <rPr>
        <sz val="14"/>
        <color rgb="FF000000"/>
        <rFont val="Courier New"/>
        <family val="3"/>
      </rPr>
      <t xml:space="preserve"> chan0 </t>
    </r>
    <r>
      <rPr>
        <sz val="14"/>
        <color rgb="FF008B8B"/>
        <rFont val="Courier New"/>
        <family val="3"/>
      </rPr>
      <t>=</t>
    </r>
    <r>
      <rPr>
        <sz val="14"/>
        <color rgb="FF000000"/>
        <rFont val="Courier New"/>
        <family val="3"/>
      </rPr>
      <t xml:space="preserve"> </t>
    </r>
    <r>
      <rPr>
        <sz val="14"/>
        <color rgb="FF800080"/>
        <rFont val="Courier New"/>
        <family val="3"/>
      </rPr>
      <t>w0</t>
    </r>
    <r>
      <rPr>
        <sz val="14"/>
        <color rgb="FF000000"/>
        <rFont val="Courier New"/>
        <family val="3"/>
      </rPr>
      <t xml:space="preserve"> </t>
    </r>
  </si>
  <si>
    <r>
      <t>symbol</t>
    </r>
    <r>
      <rPr>
        <sz val="14"/>
        <color rgb="FF000000"/>
        <rFont val="Courier New"/>
        <family val="3"/>
      </rPr>
      <t xml:space="preserve"> temp_wd </t>
    </r>
    <r>
      <rPr>
        <sz val="14"/>
        <color rgb="FF008B8B"/>
        <rFont val="Courier New"/>
        <family val="3"/>
      </rPr>
      <t>=</t>
    </r>
    <r>
      <rPr>
        <sz val="14"/>
        <color rgb="FF000000"/>
        <rFont val="Courier New"/>
        <family val="3"/>
      </rPr>
      <t xml:space="preserve"> </t>
    </r>
    <r>
      <rPr>
        <sz val="14"/>
        <color rgb="FF800080"/>
        <rFont val="Courier New"/>
        <family val="3"/>
      </rPr>
      <t>w4</t>
    </r>
  </si>
  <si>
    <r>
      <t>Symbol</t>
    </r>
    <r>
      <rPr>
        <sz val="14"/>
        <color rgb="FF000000"/>
        <rFont val="Courier New"/>
        <family val="3"/>
      </rPr>
      <t xml:space="preserve"> MSBy </t>
    </r>
    <r>
      <rPr>
        <sz val="14"/>
        <color rgb="FF008B8B"/>
        <rFont val="Courier New"/>
        <family val="3"/>
      </rPr>
      <t>=</t>
    </r>
    <r>
      <rPr>
        <sz val="14"/>
        <color rgb="FF000000"/>
        <rFont val="Courier New"/>
        <family val="3"/>
      </rPr>
      <t xml:space="preserve"> </t>
    </r>
    <r>
      <rPr>
        <sz val="14"/>
        <color rgb="FF800080"/>
        <rFont val="Courier New"/>
        <family val="3"/>
      </rPr>
      <t>b8</t>
    </r>
  </si>
  <si>
    <r>
      <t>Symbol</t>
    </r>
    <r>
      <rPr>
        <sz val="14"/>
        <color rgb="FF000000"/>
        <rFont val="Courier New"/>
        <family val="3"/>
      </rPr>
      <t xml:space="preserve"> LSBy </t>
    </r>
    <r>
      <rPr>
        <sz val="14"/>
        <color rgb="FF008B8B"/>
        <rFont val="Courier New"/>
        <family val="3"/>
      </rPr>
      <t>=</t>
    </r>
    <r>
      <rPr>
        <sz val="14"/>
        <color rgb="FF000000"/>
        <rFont val="Courier New"/>
        <family val="3"/>
      </rPr>
      <t xml:space="preserve"> </t>
    </r>
    <r>
      <rPr>
        <sz val="14"/>
        <color rgb="FF800080"/>
        <rFont val="Courier New"/>
        <family val="3"/>
      </rPr>
      <t>b9</t>
    </r>
  </si>
  <si>
    <r>
      <t>hi2cout</t>
    </r>
    <r>
      <rPr>
        <sz val="14"/>
        <color rgb="FF000000"/>
        <rFont val="Courier New"/>
        <family val="3"/>
      </rPr>
      <t xml:space="preserve"> (</t>
    </r>
    <r>
      <rPr>
        <b/>
        <sz val="14"/>
        <color rgb="FF000080"/>
        <rFont val="Courier New"/>
        <family val="3"/>
      </rPr>
      <t>%00000000</t>
    </r>
    <r>
      <rPr>
        <sz val="14"/>
        <color rgb="FF000000"/>
        <rFont val="Courier New"/>
        <family val="3"/>
      </rPr>
      <t>)</t>
    </r>
  </si>
  <si>
    <r>
      <t>hi2cin</t>
    </r>
    <r>
      <rPr>
        <sz val="14"/>
        <color rgb="FF000000"/>
        <rFont val="Courier New"/>
        <family val="3"/>
      </rPr>
      <t xml:space="preserve"> (MSBy,LSBy)</t>
    </r>
    <r>
      <rPr>
        <sz val="14"/>
        <color rgb="FF00C000"/>
        <rFont val="Courier New"/>
        <family val="3"/>
      </rPr>
      <t>'Read MSB,LSB for chans 0</t>
    </r>
  </si>
  <si>
    <r>
      <t xml:space="preserve">chan0 </t>
    </r>
    <r>
      <rPr>
        <sz val="14"/>
        <color rgb="FF008B8B"/>
        <rFont val="Courier New"/>
        <family val="3"/>
      </rPr>
      <t>=</t>
    </r>
    <r>
      <rPr>
        <sz val="14"/>
        <color rgb="FF000000"/>
        <rFont val="Courier New"/>
        <family val="3"/>
      </rPr>
      <t xml:space="preserve"> temp_wd</t>
    </r>
    <r>
      <rPr>
        <sz val="14"/>
        <color rgb="FF008B8B"/>
        <rFont val="Courier New"/>
        <family val="3"/>
      </rPr>
      <t>/</t>
    </r>
    <r>
      <rPr>
        <b/>
        <sz val="14"/>
        <color rgb="FF000080"/>
        <rFont val="Courier New"/>
        <family val="3"/>
      </rPr>
      <t>16</t>
    </r>
  </si>
  <si>
    <r>
      <t>toggle</t>
    </r>
    <r>
      <rPr>
        <sz val="14"/>
        <color rgb="FF000000"/>
        <rFont val="Courier New"/>
        <family val="3"/>
      </rPr>
      <t xml:space="preserve"> </t>
    </r>
    <r>
      <rPr>
        <sz val="14"/>
        <color rgb="FFFF0000"/>
        <rFont val="Courier New"/>
        <family val="3"/>
      </rPr>
      <t>C.0</t>
    </r>
    <r>
      <rPr>
        <sz val="14"/>
        <color rgb="FF000000"/>
        <rFont val="Courier New"/>
        <family val="3"/>
      </rPr>
      <t xml:space="preserve"> </t>
    </r>
    <r>
      <rPr>
        <sz val="14"/>
        <color rgb="FF00C000"/>
        <rFont val="Courier New"/>
        <family val="3"/>
      </rPr>
      <t>'signal reading activity</t>
    </r>
  </si>
  <si>
    <r>
      <t>goto</t>
    </r>
    <r>
      <rPr>
        <sz val="14"/>
        <color rgb="FF000000"/>
        <rFont val="Courier New"/>
        <family val="3"/>
      </rPr>
      <t xml:space="preserve"> main_read</t>
    </r>
  </si>
  <si>
    <r>
      <t xml:space="preserve">hi2cout </t>
    </r>
    <r>
      <rPr>
        <sz val="14"/>
        <color rgb="FF000000"/>
        <rFont val="Courier New"/>
        <family val="3"/>
      </rPr>
      <t>(</t>
    </r>
    <r>
      <rPr>
        <b/>
        <sz val="14"/>
        <color rgb="FF000080"/>
        <rFont val="Courier New"/>
        <family val="3"/>
      </rPr>
      <t>%00000001</t>
    </r>
    <r>
      <rPr>
        <sz val="14"/>
        <color rgb="FF000000"/>
        <rFont val="Courier New"/>
        <family val="3"/>
      </rPr>
      <t>,</t>
    </r>
    <r>
      <rPr>
        <b/>
        <sz val="14"/>
        <color rgb="FF000080"/>
        <rFont val="Courier New"/>
        <family val="3"/>
      </rPr>
      <t>%1</t>
    </r>
    <r>
      <rPr>
        <b/>
        <sz val="14"/>
        <color rgb="FF0000FF"/>
        <rFont val="Courier New"/>
        <family val="3"/>
      </rPr>
      <t>100</t>
    </r>
    <r>
      <rPr>
        <b/>
        <sz val="14"/>
        <color rgb="FFC00000"/>
        <rFont val="Courier New"/>
        <family val="3"/>
      </rPr>
      <t>001</t>
    </r>
    <r>
      <rPr>
        <b/>
        <sz val="14"/>
        <color rgb="FF000080"/>
        <rFont val="Courier New"/>
        <family val="3"/>
      </rPr>
      <t>0</t>
    </r>
    <r>
      <rPr>
        <sz val="14"/>
        <color rgb="FF000000"/>
        <rFont val="Courier New"/>
        <family val="3"/>
      </rPr>
      <t>,</t>
    </r>
    <r>
      <rPr>
        <b/>
        <sz val="14"/>
        <color rgb="FF000080"/>
        <rFont val="Courier New"/>
        <family val="3"/>
      </rPr>
      <t>%</t>
    </r>
    <r>
      <rPr>
        <b/>
        <sz val="14"/>
        <color theme="9" tint="-0.249977111117893"/>
        <rFont val="Courier New"/>
        <family val="3"/>
      </rPr>
      <t>100</t>
    </r>
    <r>
      <rPr>
        <b/>
        <sz val="14"/>
        <color rgb="FF000080"/>
        <rFont val="Courier New"/>
        <family val="3"/>
      </rPr>
      <t>00011</t>
    </r>
    <r>
      <rPr>
        <sz val="14"/>
        <color rgb="FF000000"/>
        <rFont val="Courier New"/>
        <family val="3"/>
      </rPr>
      <t>)</t>
    </r>
    <r>
      <rPr>
        <sz val="14"/>
        <color rgb="FF00C000"/>
        <rFont val="Courier New"/>
        <family val="3"/>
      </rPr>
      <t>'Write to Reg.CONFIG, MSB, LSB (Configure AIN0)</t>
    </r>
  </si>
  <si>
    <t>https://picaxeforum.co.uk/threads/ads1115-quad-ad-converter-blues.28099/</t>
  </si>
  <si>
    <r>
      <t>;      (To Reg.CONFIG,%x</t>
    </r>
    <r>
      <rPr>
        <sz val="14"/>
        <color rgb="FF0000FF"/>
        <rFont val="Courier New"/>
        <family val="3"/>
      </rPr>
      <t>MUX</t>
    </r>
    <r>
      <rPr>
        <sz val="14"/>
        <color rgb="FFC00000"/>
        <rFont val="Courier New"/>
        <family val="3"/>
      </rPr>
      <t xml:space="preserve">PGA </t>
    </r>
    <r>
      <rPr>
        <sz val="14"/>
        <color rgb="FF00B050"/>
        <rFont val="Courier New"/>
        <family val="3"/>
      </rPr>
      <t>,%</t>
    </r>
    <r>
      <rPr>
        <sz val="14"/>
        <color theme="9" tint="-0.249977111117893"/>
        <rFont val="Courier New"/>
        <family val="3"/>
      </rPr>
      <t>DRA</t>
    </r>
    <r>
      <rPr>
        <sz val="14"/>
        <color rgb="FF00B050"/>
        <rFont val="Courier New"/>
        <family val="3"/>
      </rPr>
      <t>xxxxx)</t>
    </r>
  </si>
  <si>
    <t>°C</t>
  </si>
  <si>
    <t>ADS1115</t>
  </si>
  <si>
    <r>
      <t>000 :</t>
    </r>
    <r>
      <rPr>
        <b/>
        <sz val="11"/>
        <color rgb="FFFF0000"/>
        <rFont val="Arial"/>
        <family val="2"/>
      </rPr>
      <t xml:space="preserve"> AINP</t>
    </r>
    <r>
      <rPr>
        <b/>
        <sz val="11"/>
        <color theme="9" tint="-0.249977111117893"/>
        <rFont val="Arial"/>
        <family val="2"/>
      </rPr>
      <t xml:space="preserve"> = AIN0 and</t>
    </r>
    <r>
      <rPr>
        <b/>
        <sz val="11"/>
        <color rgb="FF0000FF"/>
        <rFont val="Arial"/>
        <family val="2"/>
      </rPr>
      <t xml:space="preserve"> AINN</t>
    </r>
    <r>
      <rPr>
        <b/>
        <sz val="11"/>
        <color theme="9" tint="-0.249977111117893"/>
        <rFont val="Arial"/>
        <family val="2"/>
      </rPr>
      <t xml:space="preserve"> = AIN1 (default)</t>
    </r>
  </si>
  <si>
    <r>
      <t xml:space="preserve">001 : </t>
    </r>
    <r>
      <rPr>
        <sz val="11"/>
        <color rgb="FFFF0000"/>
        <rFont val="Arial"/>
        <family val="2"/>
      </rPr>
      <t>AINP</t>
    </r>
    <r>
      <rPr>
        <sz val="11"/>
        <color theme="1"/>
        <rFont val="Arial"/>
        <family val="2"/>
      </rPr>
      <t xml:space="preserve"> = AIN0 and </t>
    </r>
    <r>
      <rPr>
        <sz val="11"/>
        <color rgb="FF0000FF"/>
        <rFont val="Arial"/>
        <family val="2"/>
      </rPr>
      <t>AINN</t>
    </r>
    <r>
      <rPr>
        <sz val="11"/>
        <color theme="1"/>
        <rFont val="Arial"/>
        <family val="2"/>
      </rPr>
      <t xml:space="preserve"> = AIN3 </t>
    </r>
  </si>
  <si>
    <r>
      <t>010 :</t>
    </r>
    <r>
      <rPr>
        <sz val="11"/>
        <color rgb="FFFF0000"/>
        <rFont val="Arial"/>
        <family val="2"/>
      </rPr>
      <t xml:space="preserve"> AINP</t>
    </r>
    <r>
      <rPr>
        <sz val="11"/>
        <color theme="1"/>
        <rFont val="Arial"/>
        <family val="2"/>
      </rPr>
      <t xml:space="preserve"> = AIN1 and </t>
    </r>
    <r>
      <rPr>
        <sz val="11"/>
        <color rgb="FF0000FF"/>
        <rFont val="Arial"/>
        <family val="2"/>
      </rPr>
      <t>AINN</t>
    </r>
    <r>
      <rPr>
        <sz val="11"/>
        <color theme="1"/>
        <rFont val="Arial"/>
        <family val="2"/>
      </rPr>
      <t xml:space="preserve"> = AIN3 </t>
    </r>
  </si>
  <si>
    <r>
      <t>011 :</t>
    </r>
    <r>
      <rPr>
        <sz val="11"/>
        <color rgb="FFFF0000"/>
        <rFont val="Arial"/>
        <family val="2"/>
      </rPr>
      <t xml:space="preserve"> AINP</t>
    </r>
    <r>
      <rPr>
        <sz val="11"/>
        <color theme="1"/>
        <rFont val="Arial"/>
        <family val="2"/>
      </rPr>
      <t xml:space="preserve"> = AIN2 and </t>
    </r>
    <r>
      <rPr>
        <sz val="11"/>
        <color rgb="FF0000FF"/>
        <rFont val="Arial"/>
        <family val="2"/>
      </rPr>
      <t>AINN</t>
    </r>
    <r>
      <rPr>
        <sz val="11"/>
        <color theme="1"/>
        <rFont val="Arial"/>
        <family val="2"/>
      </rPr>
      <t xml:space="preserve"> = AIN3 </t>
    </r>
  </si>
  <si>
    <r>
      <t xml:space="preserve">101 : </t>
    </r>
    <r>
      <rPr>
        <sz val="11"/>
        <color rgb="FFFF0000"/>
        <rFont val="Arial"/>
        <family val="2"/>
      </rPr>
      <t>AINP</t>
    </r>
    <r>
      <rPr>
        <sz val="11"/>
        <color theme="1"/>
        <rFont val="Arial"/>
        <family val="2"/>
      </rPr>
      <t xml:space="preserve"> = AIN1 and </t>
    </r>
    <r>
      <rPr>
        <sz val="11"/>
        <color rgb="FF0000FF"/>
        <rFont val="Arial"/>
        <family val="2"/>
      </rPr>
      <t>AINN</t>
    </r>
    <r>
      <rPr>
        <sz val="11"/>
        <color theme="1"/>
        <rFont val="Arial"/>
        <family val="2"/>
      </rPr>
      <t xml:space="preserve"> = </t>
    </r>
    <r>
      <rPr>
        <b/>
        <sz val="11"/>
        <color rgb="FF0000FF"/>
        <rFont val="Arial"/>
        <family val="2"/>
      </rPr>
      <t>GND</t>
    </r>
  </si>
  <si>
    <r>
      <t>110 :</t>
    </r>
    <r>
      <rPr>
        <sz val="11"/>
        <color rgb="FFFF0000"/>
        <rFont val="Arial"/>
        <family val="2"/>
      </rPr>
      <t xml:space="preserve"> AINP</t>
    </r>
    <r>
      <rPr>
        <sz val="11"/>
        <color theme="1"/>
        <rFont val="Arial"/>
        <family val="2"/>
      </rPr>
      <t xml:space="preserve"> = AIN2 and </t>
    </r>
    <r>
      <rPr>
        <sz val="11"/>
        <color rgb="FF0000FF"/>
        <rFont val="Arial"/>
        <family val="2"/>
      </rPr>
      <t>AINN</t>
    </r>
    <r>
      <rPr>
        <sz val="11"/>
        <color theme="1"/>
        <rFont val="Arial"/>
        <family val="2"/>
      </rPr>
      <t xml:space="preserve"> = </t>
    </r>
    <r>
      <rPr>
        <b/>
        <sz val="11"/>
        <color rgb="FF0000FF"/>
        <rFont val="Arial"/>
        <family val="2"/>
      </rPr>
      <t>GND</t>
    </r>
  </si>
  <si>
    <r>
      <t>111 :</t>
    </r>
    <r>
      <rPr>
        <sz val="11"/>
        <color rgb="FFFF0000"/>
        <rFont val="Arial"/>
        <family val="2"/>
      </rPr>
      <t xml:space="preserve"> AINP</t>
    </r>
    <r>
      <rPr>
        <sz val="11"/>
        <color theme="1"/>
        <rFont val="Arial"/>
        <family val="2"/>
      </rPr>
      <t xml:space="preserve"> = AIN3 and </t>
    </r>
    <r>
      <rPr>
        <sz val="11"/>
        <color rgb="FF0000FF"/>
        <rFont val="Arial"/>
        <family val="2"/>
      </rPr>
      <t>AINN</t>
    </r>
    <r>
      <rPr>
        <sz val="11"/>
        <color theme="1"/>
        <rFont val="Arial"/>
        <family val="2"/>
      </rPr>
      <t xml:space="preserve"> = </t>
    </r>
    <r>
      <rPr>
        <b/>
        <sz val="11"/>
        <color rgb="FF0000FF"/>
        <rFont val="Arial"/>
        <family val="2"/>
      </rPr>
      <t>GND</t>
    </r>
  </si>
  <si>
    <t>Exemple: Ecriture dans le Registre CONFIG pour un Mode de conversion continue, ensuite Lire le résultat de conversion</t>
  </si>
  <si>
    <t>(Fonction Select)</t>
  </si>
  <si>
    <t>(Digital values)</t>
  </si>
  <si>
    <t>(General Config)</t>
  </si>
  <si>
    <r>
      <t>Hi2cout</t>
    </r>
    <r>
      <rPr>
        <sz val="11"/>
        <color rgb="FF000000"/>
        <rFont val="Lucida Console"/>
        <family val="3"/>
      </rPr>
      <t xml:space="preserve"> (</t>
    </r>
    <r>
      <rPr>
        <b/>
        <sz val="11"/>
        <color rgb="FF000080"/>
        <rFont val="Lucida Console"/>
        <family val="3"/>
      </rPr>
      <t>%00000001</t>
    </r>
    <r>
      <rPr>
        <sz val="11"/>
        <color rgb="FF000000"/>
        <rFont val="Lucida Console"/>
        <family val="3"/>
      </rPr>
      <t>,</t>
    </r>
    <r>
      <rPr>
        <b/>
        <sz val="11"/>
        <color rgb="FF000080"/>
        <rFont val="Lucida Console"/>
        <family val="3"/>
      </rPr>
      <t>%11010010</t>
    </r>
    <r>
      <rPr>
        <sz val="11"/>
        <color rgb="FF000000"/>
        <rFont val="Lucida Console"/>
        <family val="3"/>
      </rPr>
      <t>,</t>
    </r>
    <r>
      <rPr>
        <b/>
        <sz val="11"/>
        <color rgb="FF000080"/>
        <rFont val="Lucida Console"/>
        <family val="3"/>
      </rPr>
      <t>%10000011</t>
    </r>
    <r>
      <rPr>
        <sz val="11"/>
        <color rgb="FF000000"/>
        <rFont val="Lucida Console"/>
        <family val="3"/>
      </rPr>
      <t xml:space="preserve">)  </t>
    </r>
    <r>
      <rPr>
        <sz val="11"/>
        <color rgb="FF00C000"/>
        <rFont val="Lucida Console"/>
        <family val="3"/>
      </rPr>
      <t>'Write to Reg.CONFIG, MSB, LSB</t>
    </r>
  </si>
  <si>
    <r>
      <t xml:space="preserve">  </t>
    </r>
    <r>
      <rPr>
        <sz val="11"/>
        <color rgb="FF0000FF"/>
        <rFont val="Lucida Console"/>
        <family val="3"/>
      </rPr>
      <t>Hi2cout</t>
    </r>
    <r>
      <rPr>
        <sz val="11"/>
        <color rgb="FF000000"/>
        <rFont val="Lucida Console"/>
        <family val="3"/>
      </rPr>
      <t xml:space="preserve"> (</t>
    </r>
    <r>
      <rPr>
        <b/>
        <sz val="11"/>
        <color rgb="FF000080"/>
        <rFont val="Lucida Console"/>
        <family val="3"/>
      </rPr>
      <t>%00000000</t>
    </r>
    <r>
      <rPr>
        <sz val="11"/>
        <color rgb="FF000000"/>
        <rFont val="Lucida Console"/>
        <family val="3"/>
      </rPr>
      <t xml:space="preserve">) </t>
    </r>
    <r>
      <rPr>
        <sz val="11"/>
        <color rgb="FF00C000"/>
        <rFont val="Lucida Console"/>
        <family val="3"/>
      </rPr>
      <t>'Write to Reg.Pointer (Select Reg.Conversion)</t>
    </r>
  </si>
  <si>
    <r>
      <t xml:space="preserve">  </t>
    </r>
    <r>
      <rPr>
        <sz val="11"/>
        <color rgb="FF0000FF"/>
        <rFont val="Lucida Console"/>
        <family val="3"/>
      </rPr>
      <t>Hi2cin</t>
    </r>
    <r>
      <rPr>
        <sz val="11"/>
        <color rgb="FF000000"/>
        <rFont val="Lucida Console"/>
        <family val="3"/>
      </rPr>
      <t xml:space="preserve"> (adc.msb,adc.lsb)</t>
    </r>
    <r>
      <rPr>
        <sz val="11"/>
        <color rgb="FF00C000"/>
        <rFont val="Lucida Console"/>
        <family val="3"/>
      </rPr>
      <t>'Read MSB,LSB from Reg.Conversion</t>
    </r>
  </si>
  <si>
    <t xml:space="preserve">Init: </t>
  </si>
  <si>
    <t>Sur toutes vos commandes hi2cout, supprimez le 0 depuis le début. Cela signifie que le Picaxe envoie un octet 0 avant les octets que vous avez l'intention d'envoyer, et vous n'obtiendrez rien de l'ADC.</t>
  </si>
  <si>
    <r>
      <t>Premier octet: 0b</t>
    </r>
    <r>
      <rPr>
        <strike/>
        <sz val="11"/>
        <color rgb="FF0070C0"/>
        <rFont val="Arial"/>
        <family val="2"/>
      </rPr>
      <t>1001000</t>
    </r>
    <r>
      <rPr>
        <b/>
        <strike/>
        <sz val="11"/>
        <color rgb="FFC00000"/>
        <rFont val="Arial"/>
        <family val="2"/>
      </rPr>
      <t>0</t>
    </r>
    <r>
      <rPr>
        <strike/>
        <sz val="11"/>
        <color rgb="FF141414"/>
        <rFont val="Arial"/>
        <family val="2"/>
      </rPr>
      <t xml:space="preserve"> (</t>
    </r>
    <r>
      <rPr>
        <strike/>
        <sz val="11"/>
        <color rgb="FF0070C0"/>
        <rFont val="Arial"/>
        <family val="2"/>
      </rPr>
      <t>première adresse I2C 7 bits</t>
    </r>
    <r>
      <rPr>
        <strike/>
        <sz val="11"/>
        <color rgb="FF141414"/>
        <rFont val="Arial"/>
        <family val="2"/>
      </rPr>
      <t xml:space="preserve"> aux données de produit spécifique à l' appareil feuille suivi d'un faible bit de lecture / </t>
    </r>
    <r>
      <rPr>
        <b/>
        <strike/>
        <sz val="11"/>
        <color rgb="FFC00000"/>
        <rFont val="Arial"/>
        <family val="2"/>
      </rPr>
      <t>écriture</t>
    </r>
    <r>
      <rPr>
        <strike/>
        <sz val="11"/>
        <color rgb="FF141414"/>
        <rFont val="Arial"/>
        <family val="2"/>
      </rPr>
      <t>). </t>
    </r>
  </si>
  <si>
    <r>
      <t>Premier octet: 0b</t>
    </r>
    <r>
      <rPr>
        <strike/>
        <sz val="11"/>
        <color rgb="FF0070C0"/>
        <rFont val="Arial"/>
        <family val="2"/>
      </rPr>
      <t>1001000</t>
    </r>
    <r>
      <rPr>
        <b/>
        <strike/>
        <sz val="11"/>
        <color theme="9" tint="-0.249977111117893"/>
        <rFont val="Arial"/>
        <family val="2"/>
      </rPr>
      <t>1</t>
    </r>
    <r>
      <rPr>
        <strike/>
        <sz val="11"/>
        <color rgb="FF141414"/>
        <rFont val="Arial"/>
        <family val="2"/>
      </rPr>
      <t xml:space="preserve"> (</t>
    </r>
    <r>
      <rPr>
        <strike/>
        <sz val="11"/>
        <color rgb="FF0070C0"/>
        <rFont val="Arial"/>
        <family val="2"/>
      </rPr>
      <t>première adresse I2C à 7 bits</t>
    </r>
    <r>
      <rPr>
        <strike/>
        <sz val="11"/>
        <color rgb="FF141414"/>
        <rFont val="Arial"/>
        <family val="2"/>
      </rPr>
      <t xml:space="preserve"> suivie d'un bit de </t>
    </r>
    <r>
      <rPr>
        <b/>
        <strike/>
        <sz val="11"/>
        <color theme="9" tint="-0.249977111117893"/>
        <rFont val="Arial"/>
        <family val="2"/>
      </rPr>
      <t>lecture</t>
    </r>
    <r>
      <rPr>
        <strike/>
        <sz val="11"/>
        <color rgb="FF141414"/>
        <rFont val="Arial"/>
        <family val="2"/>
      </rPr>
      <t xml:space="preserve"> / écriture élevé) </t>
    </r>
  </si>
  <si>
    <r>
      <t>Premier octet: 0b</t>
    </r>
    <r>
      <rPr>
        <strike/>
        <sz val="11"/>
        <color rgb="FF0070C0"/>
        <rFont val="Arial"/>
        <family val="2"/>
      </rPr>
      <t>1001000</t>
    </r>
    <r>
      <rPr>
        <b/>
        <strike/>
        <sz val="11"/>
        <color rgb="FFC00000"/>
        <rFont val="Arial"/>
        <family val="2"/>
      </rPr>
      <t>0</t>
    </r>
    <r>
      <rPr>
        <strike/>
        <sz val="11"/>
        <color rgb="FF141414"/>
        <rFont val="Arial"/>
        <family val="2"/>
      </rPr>
      <t xml:space="preserve"> (</t>
    </r>
    <r>
      <rPr>
        <strike/>
        <sz val="11"/>
        <color rgb="FF0070C0"/>
        <rFont val="Arial"/>
        <family val="2"/>
      </rPr>
      <t>première adresse I2C de 7 bit</t>
    </r>
    <r>
      <rPr>
        <strike/>
        <sz val="11"/>
        <color rgb="FF141414"/>
        <rFont val="Arial"/>
        <family val="2"/>
      </rPr>
      <t>s. )</t>
    </r>
  </si>
  <si>
    <t>Une commande devrait ressembler à ceci:</t>
  </si>
  <si>
    <r>
      <rPr>
        <b/>
        <sz val="12"/>
        <color rgb="FF141414"/>
        <rFont val="Lucida Console"/>
        <family val="3"/>
      </rPr>
      <t>hi2cout (%00000001,%11000010,%10000011)</t>
    </r>
    <r>
      <rPr>
        <sz val="11"/>
        <color rgb="FF141414"/>
        <rFont val="Inherit"/>
      </rPr>
      <t xml:space="preserve">   '</t>
    </r>
    <r>
      <rPr>
        <sz val="11"/>
        <color rgb="FF339933"/>
        <rFont val="Inherit"/>
      </rPr>
      <t>Write CONFIG reg, MSB, LSB (Configure AIN0)</t>
    </r>
  </si>
  <si>
    <r>
      <t xml:space="preserve">100 : </t>
    </r>
    <r>
      <rPr>
        <sz val="11"/>
        <color rgb="FFFF0000"/>
        <rFont val="Arial"/>
        <family val="2"/>
      </rPr>
      <t>AINP</t>
    </r>
    <r>
      <rPr>
        <sz val="11"/>
        <color theme="1"/>
        <rFont val="Arial"/>
        <family val="2"/>
      </rPr>
      <t xml:space="preserve"> = AIN0 and</t>
    </r>
    <r>
      <rPr>
        <sz val="11"/>
        <color rgb="FF0000FF"/>
        <rFont val="Arial"/>
        <family val="2"/>
      </rPr>
      <t xml:space="preserve"> AINN</t>
    </r>
    <r>
      <rPr>
        <sz val="11"/>
        <color theme="1"/>
        <rFont val="Arial"/>
        <family val="2"/>
      </rPr>
      <t xml:space="preserve"> = </t>
    </r>
    <r>
      <rPr>
        <b/>
        <sz val="11"/>
        <color rgb="FF0000FF"/>
        <rFont val="Arial"/>
        <family val="2"/>
      </rPr>
      <t>GND</t>
    </r>
  </si>
  <si>
    <t>TMP37</t>
  </si>
  <si>
    <t>5°C to 100°C</t>
  </si>
  <si>
    <t>-40°C to 125°C</t>
  </si>
  <si>
    <t>↓</t>
  </si>
  <si>
    <t>TMP36</t>
  </si>
  <si>
    <t>V.Max =</t>
  </si>
  <si>
    <t>PGA=</t>
  </si>
  <si>
    <t>SETTING</t>
  </si>
  <si>
    <t>7FFF</t>
  </si>
  <si>
    <t>Coef</t>
  </si>
  <si>
    <t>ADC=</t>
  </si>
  <si>
    <t xml:space="preserve">Coef= </t>
  </si>
  <si>
    <t>https://e2e.ti.com/support/data-converters/f/73/t/127706</t>
  </si>
  <si>
    <r>
      <t xml:space="preserve">FS (V)
</t>
    </r>
    <r>
      <rPr>
        <b/>
        <sz val="12"/>
        <color rgb="FFFF0000"/>
        <rFont val="Arial"/>
        <family val="2"/>
      </rPr>
      <t>Vin Max</t>
    </r>
  </si>
  <si>
    <t>ADC</t>
  </si>
  <si>
    <t>FSmax=</t>
  </si>
  <si>
    <t>( Max = 32767 )</t>
  </si>
  <si>
    <t xml:space="preserve">mV= </t>
  </si>
  <si>
    <t>Ƞ</t>
  </si>
  <si>
    <t>x</t>
  </si>
  <si>
    <t>y</t>
  </si>
  <si>
    <t>Exact  X</t>
  </si>
  <si>
    <t>Exact  /</t>
  </si>
  <si>
    <t>(Vin MAX)</t>
  </si>
  <si>
    <t>Conversion Vin en valeur ADC</t>
  </si>
  <si>
    <r>
      <t xml:space="preserve">FS (V)
</t>
    </r>
    <r>
      <rPr>
        <b/>
        <sz val="16"/>
        <color rgb="FFFF0000"/>
        <rFont val="Arial"/>
        <family val="2"/>
      </rPr>
      <t>Vin Max</t>
    </r>
  </si>
  <si>
    <r>
      <rPr>
        <sz val="22"/>
        <color theme="8" tint="-0.249977111117893"/>
        <rFont val="Wingdings"/>
        <charset val="2"/>
      </rPr>
      <t>:</t>
    </r>
    <r>
      <rPr>
        <b/>
        <sz val="18"/>
        <color theme="1"/>
        <rFont val="Arial"/>
        <family val="2"/>
      </rPr>
      <t xml:space="preserve">    ADC= </t>
    </r>
  </si>
  <si>
    <t>ADC /mV</t>
  </si>
  <si>
    <t>µV /ADC</t>
  </si>
  <si>
    <t>GAIN</t>
  </si>
  <si>
    <r>
      <rPr>
        <sz val="22"/>
        <color theme="9" tint="-0.249977111117893"/>
        <rFont val="Wingdings"/>
        <charset val="2"/>
      </rPr>
      <t>?</t>
    </r>
    <r>
      <rPr>
        <b/>
        <sz val="22"/>
        <color theme="1"/>
        <rFont val="Calibri"/>
        <family val="2"/>
        <scheme val="minor"/>
      </rPr>
      <t xml:space="preserve">    </t>
    </r>
    <r>
      <rPr>
        <b/>
        <u/>
        <sz val="22"/>
        <color theme="1"/>
        <rFont val="Calibri"/>
        <family val="2"/>
        <scheme val="minor"/>
      </rPr>
      <t xml:space="preserve">Vin: </t>
    </r>
  </si>
  <si>
    <r>
      <t xml:space="preserve">Read and converted value </t>
    </r>
    <r>
      <rPr>
        <b/>
        <u/>
        <sz val="16"/>
        <color theme="1"/>
        <rFont val="Arial"/>
        <family val="2"/>
      </rPr>
      <t>to 15 bits</t>
    </r>
  </si>
  <si>
    <r>
      <t xml:space="preserve">Choisir le PGA en fonction de la </t>
    </r>
    <r>
      <rPr>
        <b/>
        <sz val="11"/>
        <color rgb="FFC00000"/>
        <rFont val="Arial"/>
        <family val="2"/>
      </rPr>
      <t>tension Max</t>
    </r>
    <r>
      <rPr>
        <sz val="11"/>
        <color rgb="FFFF66FF"/>
        <rFont val="Arial"/>
        <family val="2"/>
      </rPr>
      <t xml:space="preserve"> qui sera appliquée à l'entrée du ADC</t>
    </r>
  </si>
  <si>
    <t>Degrés / ADC</t>
  </si>
  <si>
    <t>ADC/mV</t>
  </si>
  <si>
    <t>ADC/°C</t>
  </si>
  <si>
    <t>mV = 0,0625 ADC</t>
  </si>
  <si>
    <t>1/16=</t>
  </si>
  <si>
    <t>1/320=</t>
  </si>
  <si>
    <t>°C = 0,003125 ADC</t>
  </si>
  <si>
    <t>TempC</t>
  </si>
  <si>
    <t>ADC/32</t>
  </si>
  <si>
    <t>Entier_C</t>
  </si>
  <si>
    <t>TempC/10</t>
  </si>
  <si>
    <t>b0=entier_C*10</t>
  </si>
  <si>
    <t>Decimal=</t>
  </si>
  <si>
    <t>TempC-b0</t>
  </si>
  <si>
    <t>RESULTAT Picaxe</t>
  </si>
  <si>
    <t>Calcul exact</t>
  </si>
  <si>
    <t>ADC/16</t>
  </si>
  <si>
    <r>
      <rPr>
        <sz val="18"/>
        <color rgb="FFC00000"/>
        <rFont val="Calibri"/>
        <family val="2"/>
      </rPr>
      <t>←</t>
    </r>
    <r>
      <rPr>
        <sz val="36"/>
        <color rgb="FFC00000"/>
        <rFont val="Wingdings"/>
        <charset val="2"/>
      </rPr>
      <t>?</t>
    </r>
  </si>
  <si>
    <t>DIFFERENCE</t>
  </si>
  <si>
    <t>Calcul PICAXE</t>
  </si>
  <si>
    <t>ENTIER  !</t>
  </si>
  <si>
    <t>A convertir</t>
  </si>
  <si>
    <t>résultat</t>
  </si>
  <si>
    <t>K</t>
  </si>
  <si>
    <t>Nombre</t>
  </si>
  <si>
    <t>reste div par 2</t>
  </si>
  <si>
    <t>complement à deux</t>
  </si>
  <si>
    <t>retenue</t>
  </si>
  <si>
    <t>Résultat</t>
  </si>
  <si>
    <t>vérification:</t>
  </si>
  <si>
    <t>Nombre à convertir</t>
  </si>
  <si>
    <t>2^16-ABS(du nombre)</t>
  </si>
  <si>
    <t>Méthode 2</t>
  </si>
  <si>
    <t>Méthode 1</t>
  </si>
  <si>
    <t>C'est la méthode bestiale.</t>
  </si>
  <si>
    <t>et ensuite on ajoute 1 avec propagation d'une éventuelle retenue.</t>
  </si>
  <si>
    <t xml:space="preserve">On utilise la formule suivante pour le complément à 2: </t>
  </si>
  <si>
    <t>Si X est le nombre négatif à convertir, la conversion de (2^16)-|X| en base 2 donne le résultat.</t>
  </si>
  <si>
    <t>HEX</t>
  </si>
  <si>
    <t>BIN ('Complement 2')
sur 16 bits</t>
  </si>
  <si>
    <t>Control</t>
  </si>
  <si>
    <t>=E69+(-F69)</t>
  </si>
  <si>
    <t>=P72+(-Q72)</t>
  </si>
  <si>
    <t>https://www.excelforum.com/excel-formulas-and-functions/526353-decimal-to-16-bits-binary-conversion-in-excel.html</t>
  </si>
  <si>
    <t>https://www.developpez.net/forums/d917653/logiciels/microsoft-office/excel/faire-bindec-plus-10-bits/</t>
  </si>
  <si>
    <t>https://www.developpez.net/forums/d1542153/logiciels/microsoft-office/excel/convertir-decimal-binaire-excel/</t>
  </si>
  <si>
    <t xml:space="preserve"> mV  </t>
  </si>
  <si>
    <t>HEX:</t>
  </si>
  <si>
    <t>calcul intermédiaire</t>
  </si>
  <si>
    <r>
      <rPr>
        <sz val="20"/>
        <color theme="1"/>
        <rFont val="Calibri"/>
        <family val="2"/>
        <scheme val="minor"/>
      </rPr>
      <t xml:space="preserve"> </t>
    </r>
    <r>
      <rPr>
        <b/>
        <sz val="20"/>
        <color theme="1"/>
        <rFont val="Calibri"/>
        <family val="2"/>
        <scheme val="minor"/>
      </rPr>
      <t>V</t>
    </r>
    <r>
      <rPr>
        <sz val="14"/>
        <color theme="1"/>
        <rFont val="Calibri"/>
        <family val="2"/>
        <scheme val="minor"/>
      </rPr>
      <t xml:space="preserve">     mV/ADC:</t>
    </r>
  </si>
  <si>
    <t xml:space="preserve">Note: </t>
  </si>
  <si>
    <t>Utiliser une mesure différentielle offre plus d'immunité contre le bruit électromagnétique.</t>
  </si>
  <si>
    <t>Il est donc préférable d'appliquer la valeur d'entrée sur A0 et Gnd sur A1.</t>
  </si>
  <si>
    <t>C'est d'ailleurs la configuration d'entrée par défaut !</t>
  </si>
  <si>
    <t xml:space="preserve">mV/ADC :  </t>
  </si>
  <si>
    <t>Full Scale Vin:</t>
  </si>
  <si>
    <t>Il faut donc convertir la tension analogique en degré.</t>
  </si>
  <si>
    <t>Ainsi, toute mesure inférieur à 500 mv correspondra à une température négative.</t>
  </si>
  <si>
    <t>La formule est la suivante pour le TMP36:</t>
  </si>
  <si>
    <t>Temp en °C = ( Tension_de_sortie_en_milliVolts - 500) / 10</t>
  </si>
  <si>
    <t>Soit 50 degrés Celcius.</t>
  </si>
  <si>
    <t>Comment calculer la température avec le TMP36</t>
  </si>
  <si>
    <t>mais en raison du décalage, le TMP36 est capable de mesurer une température négative.</t>
  </si>
  <si>
    <t> Une tension nulle à sa sortie correspond à une température de -40 ° C.</t>
  </si>
  <si>
    <t>Et à une tension de sortie de 0,5 V, la température sera de 0 ° C.</t>
  </si>
  <si>
    <t>Le capteur de température est connecté à l'entrée analogique A0. Condensateur C1 - blocage de l'alimentation du capteur, R1 et C2 - le filtre analogique le plus simple. Si le capteur de température est installé à proximité du microcontrôleur, le filtre peut être exclu du circuit.</t>
  </si>
  <si>
    <t>TMP35, TMP36, TMP37 permettent de travailler sur la capacité de charge jusqu'à 10 nF et LM35 - pas plus de 50 pF. Par conséquent, si le capteur est connecté au contrôleur avec une longue ligne ayant une capacité importante, la résistance R1 doit être installée du côté du capteur et le condensateur C2 - du côté du contrôleur. Le condensateur de blocage C1 est toujours installé à proximité du capteur thermique.</t>
  </si>
  <si>
    <t>Dans tous les cas, le filtrage numérique du signal du capteur sera implémenté dans le programme du contrôleur.</t>
  </si>
  <si>
    <t>http://mypractic.com/lesson-24-connecting-analog-temperature-sensors-to-arduino-lm35-tmp35-tmp36-tmp37-the-working-project-of-the-thermometer/</t>
  </si>
  <si>
    <t>Positifs</t>
  </si>
  <si>
    <t>Négatifs</t>
  </si>
  <si>
    <t>positions</t>
  </si>
  <si>
    <t>Zéro</t>
  </si>
  <si>
    <t>0</t>
  </si>
  <si>
    <t>16 bits</t>
  </si>
  <si>
    <r>
      <t xml:space="preserve">ADC
</t>
    </r>
    <r>
      <rPr>
        <sz val="14"/>
        <color theme="1"/>
        <rFont val="Calibri"/>
        <family val="2"/>
        <scheme val="minor"/>
      </rPr>
      <t>(DEC)</t>
    </r>
  </si>
  <si>
    <t>Valeur réelle</t>
  </si>
  <si>
    <t>du Registre
de conversion</t>
  </si>
  <si>
    <t>du registre
de conversion</t>
  </si>
  <si>
    <t>de 1 à 32767</t>
  </si>
  <si>
    <t>de 65535 à  32768</t>
  </si>
  <si>
    <r>
      <rPr>
        <u/>
        <sz val="16"/>
        <color theme="1"/>
        <rFont val="Arial"/>
        <family val="2"/>
      </rPr>
      <t>'ADDR Pin'</t>
    </r>
    <r>
      <rPr>
        <sz val="16"/>
        <color theme="1"/>
        <rFont val="Arial"/>
        <family val="2"/>
      </rPr>
      <t xml:space="preserve">  to:</t>
    </r>
  </si>
  <si>
    <r>
      <t xml:space="preserve">Ecrire dans le registre </t>
    </r>
    <r>
      <rPr>
        <sz val="14"/>
        <color theme="1"/>
        <rFont val="Arial"/>
        <family val="2"/>
      </rPr>
      <t>(Write Only)</t>
    </r>
    <r>
      <rPr>
        <b/>
        <sz val="14"/>
        <color theme="1"/>
        <rFont val="Arial"/>
        <family val="2"/>
      </rPr>
      <t xml:space="preserve"> du pointeur</t>
    </r>
    <r>
      <rPr>
        <sz val="14"/>
        <color theme="1"/>
        <rFont val="Arial"/>
        <family val="2"/>
      </rPr>
      <t xml:space="preserve"> </t>
    </r>
    <r>
      <rPr>
        <sz val="12"/>
        <color theme="1"/>
        <rFont val="Arial"/>
        <family val="2"/>
      </rPr>
      <t>(Positionner le pointeur sur l'adresse du Reg. de Conversion)</t>
    </r>
  </si>
  <si>
    <r>
      <t xml:space="preserve">Ecrire dans le registre </t>
    </r>
    <r>
      <rPr>
        <sz val="14"/>
        <color theme="1"/>
        <rFont val="Arial"/>
        <family val="2"/>
      </rPr>
      <t>(Read/Write)</t>
    </r>
    <r>
      <rPr>
        <b/>
        <sz val="14"/>
        <color theme="1"/>
        <rFont val="Arial"/>
        <family val="2"/>
      </rPr>
      <t xml:space="preserve"> de configuration</t>
    </r>
  </si>
  <si>
    <r>
      <t xml:space="preserve">Lire le registre </t>
    </r>
    <r>
      <rPr>
        <sz val="14"/>
        <color theme="1"/>
        <rFont val="Arial"/>
        <family val="2"/>
      </rPr>
      <t>(Read Only)</t>
    </r>
    <r>
      <rPr>
        <b/>
        <sz val="14"/>
        <color theme="1"/>
        <rFont val="Arial"/>
        <family val="2"/>
      </rPr>
      <t xml:space="preserve"> de Conversion</t>
    </r>
    <r>
      <rPr>
        <sz val="12"/>
        <color theme="1"/>
        <rFont val="Arial"/>
        <family val="2"/>
      </rPr>
      <t xml:space="preserve"> (Le pointeur doit être placé sur l'adresse du Reg. de Conversion)</t>
    </r>
  </si>
  <si>
    <t xml:space="preserve">'Set Pointer to Reg.Conversion </t>
  </si>
  <si>
    <r>
      <t>hi2csetup</t>
    </r>
    <r>
      <rPr>
        <sz val="14"/>
        <color rgb="FF000000"/>
        <rFont val="Courier New"/>
        <family val="3"/>
      </rPr>
      <t xml:space="preserve"> </t>
    </r>
    <r>
      <rPr>
        <sz val="14"/>
        <color rgb="FF0000FF"/>
        <rFont val="Courier New"/>
        <family val="3"/>
      </rPr>
      <t>i2cmaster</t>
    </r>
    <r>
      <rPr>
        <sz val="14"/>
        <color rgb="FF000000"/>
        <rFont val="Courier New"/>
        <family val="3"/>
      </rPr>
      <t xml:space="preserve">, </t>
    </r>
    <r>
      <rPr>
        <b/>
        <sz val="14"/>
        <color rgb="FF000080"/>
        <rFont val="Courier New"/>
        <family val="3"/>
      </rPr>
      <t>%</t>
    </r>
    <r>
      <rPr>
        <b/>
        <sz val="14"/>
        <color rgb="FFFF0000"/>
        <rFont val="Courier New"/>
        <family val="3"/>
      </rPr>
      <t>1001000</t>
    </r>
    <r>
      <rPr>
        <b/>
        <sz val="14"/>
        <color rgb="FF000080"/>
        <rFont val="Courier New"/>
        <family val="3"/>
      </rPr>
      <t>0</t>
    </r>
    <r>
      <rPr>
        <sz val="14"/>
        <color rgb="FF000000"/>
        <rFont val="Courier New"/>
        <family val="3"/>
      </rPr>
      <t xml:space="preserve">, </t>
    </r>
    <r>
      <rPr>
        <sz val="14"/>
        <color rgb="FFFF0000"/>
        <rFont val="Courier New"/>
        <family val="3"/>
      </rPr>
      <t>i2cfast_8</t>
    </r>
    <r>
      <rPr>
        <sz val="14"/>
        <color rgb="FF000000"/>
        <rFont val="Courier New"/>
        <family val="3"/>
      </rPr>
      <t xml:space="preserve">, </t>
    </r>
    <r>
      <rPr>
        <sz val="14"/>
        <color rgb="FFFF0000"/>
        <rFont val="Courier New"/>
        <family val="3"/>
      </rPr>
      <t>i2cbyte</t>
    </r>
    <r>
      <rPr>
        <sz val="14"/>
        <color rgb="FF000000"/>
        <rFont val="Courier New"/>
        <family val="3"/>
      </rPr>
      <t xml:space="preserve"> </t>
    </r>
    <r>
      <rPr>
        <sz val="14"/>
        <color rgb="FF00C000"/>
        <rFont val="Courier New"/>
        <family val="3"/>
      </rPr>
      <t>'address with grounded address pin</t>
    </r>
  </si>
  <si>
    <t>Semble facultatif !?</t>
  </si>
  <si>
    <r>
      <rPr>
        <b/>
        <u/>
        <sz val="18"/>
        <color rgb="FF339933"/>
        <rFont val="Arial"/>
        <family val="2"/>
      </rPr>
      <t xml:space="preserve"> </t>
    </r>
    <r>
      <rPr>
        <b/>
        <u/>
        <sz val="22"/>
        <color rgb="FF339933"/>
        <rFont val="Arial"/>
        <family val="2"/>
      </rPr>
      <t>i2C only 4-Addresses</t>
    </r>
    <r>
      <rPr>
        <b/>
        <u/>
        <sz val="18"/>
        <color rgb="FF339933"/>
        <rFont val="Arial"/>
        <family val="2"/>
      </rPr>
      <t xml:space="preserve"> for ADS1115</t>
    </r>
  </si>
  <si>
    <t>Une deuxième mesure différentielle est aussi possible sur A2 et GND sur A3.</t>
  </si>
  <si>
    <r>
      <t xml:space="preserve">  Hi2cout</t>
    </r>
    <r>
      <rPr>
        <sz val="11"/>
        <color rgb="FF000000"/>
        <rFont val="Lucida Console"/>
        <family val="3"/>
      </rPr>
      <t xml:space="preserve"> (</t>
    </r>
    <r>
      <rPr>
        <b/>
        <sz val="11"/>
        <color rgb="FF000080"/>
        <rFont val="Lucida Console"/>
        <family val="3"/>
      </rPr>
      <t>%1001000</t>
    </r>
    <r>
      <rPr>
        <b/>
        <sz val="11"/>
        <color rgb="FFFF0000"/>
        <rFont val="Lucida Console"/>
        <family val="3"/>
      </rPr>
      <t>0</t>
    </r>
    <r>
      <rPr>
        <sz val="11"/>
        <color rgb="FF000000"/>
        <rFont val="Lucida Console"/>
        <family val="3"/>
      </rPr>
      <t xml:space="preserve">)  </t>
    </r>
    <r>
      <rPr>
        <sz val="11"/>
        <color rgb="FF00C000"/>
        <rFont val="Lucida Console"/>
        <family val="3"/>
      </rPr>
      <t xml:space="preserve">'i2c Address '+0' for writing operation </t>
    </r>
    <r>
      <rPr>
        <b/>
        <sz val="20"/>
        <color rgb="FFFF0000"/>
        <rFont val="Arial"/>
        <family val="2"/>
      </rPr>
      <t>*</t>
    </r>
  </si>
  <si>
    <r>
      <t xml:space="preserve">  Hi2cout</t>
    </r>
    <r>
      <rPr>
        <sz val="11"/>
        <color rgb="FF000000"/>
        <rFont val="Lucida Console"/>
        <family val="3"/>
      </rPr>
      <t xml:space="preserve"> (</t>
    </r>
    <r>
      <rPr>
        <b/>
        <sz val="11"/>
        <color rgb="FF000080"/>
        <rFont val="Lucida Console"/>
        <family val="3"/>
      </rPr>
      <t>%1001000</t>
    </r>
    <r>
      <rPr>
        <b/>
        <sz val="11"/>
        <color rgb="FFFF0000"/>
        <rFont val="Lucida Console"/>
        <family val="3"/>
      </rPr>
      <t>1</t>
    </r>
    <r>
      <rPr>
        <sz val="11"/>
        <color rgb="FF000000"/>
        <rFont val="Lucida Console"/>
        <family val="3"/>
      </rPr>
      <t xml:space="preserve">)  </t>
    </r>
    <r>
      <rPr>
        <sz val="11"/>
        <color rgb="FF00C000"/>
        <rFont val="Lucida Console"/>
        <family val="3"/>
      </rPr>
      <t xml:space="preserve">'i2c Address '+1' for reading operation </t>
    </r>
    <r>
      <rPr>
        <b/>
        <sz val="20"/>
        <color rgb="FFFF0000"/>
        <rFont val="Arial"/>
        <family val="2"/>
      </rPr>
      <t>*</t>
    </r>
  </si>
  <si>
    <r>
      <t>Hi2cout</t>
    </r>
    <r>
      <rPr>
        <sz val="11"/>
        <color rgb="FF000000"/>
        <rFont val="Lucida Console"/>
        <family val="3"/>
      </rPr>
      <t xml:space="preserve"> (</t>
    </r>
    <r>
      <rPr>
        <b/>
        <sz val="11"/>
        <color rgb="FF000080"/>
        <rFont val="Lucida Console"/>
        <family val="3"/>
      </rPr>
      <t>%1001000</t>
    </r>
    <r>
      <rPr>
        <b/>
        <sz val="11"/>
        <color rgb="FFFF0000"/>
        <rFont val="Lucida Console"/>
        <family val="3"/>
      </rPr>
      <t>0</t>
    </r>
    <r>
      <rPr>
        <sz val="11"/>
        <color rgb="FF000000"/>
        <rFont val="Lucida Console"/>
        <family val="3"/>
      </rPr>
      <t xml:space="preserve">)  </t>
    </r>
    <r>
      <rPr>
        <sz val="11"/>
        <color rgb="FF00C000"/>
        <rFont val="Lucida Console"/>
        <family val="3"/>
      </rPr>
      <t xml:space="preserve">'i2c Address '+0' for writing operation </t>
    </r>
    <r>
      <rPr>
        <b/>
        <sz val="20"/>
        <color rgb="FFFF0000"/>
        <rFont val="Arial"/>
        <family val="2"/>
      </rPr>
      <t>*</t>
    </r>
  </si>
  <si>
    <r>
      <rPr>
        <b/>
        <sz val="20"/>
        <color rgb="FFFF0000"/>
        <rFont val="Arial"/>
        <family val="2"/>
      </rPr>
      <t>*</t>
    </r>
    <r>
      <rPr>
        <sz val="11"/>
        <color theme="1"/>
        <rFont val="Arial"/>
        <family val="2"/>
      </rPr>
      <t xml:space="preserve"> </t>
    </r>
    <r>
      <rPr>
        <sz val="14"/>
        <color theme="1"/>
        <rFont val="Arial"/>
        <family val="2"/>
      </rPr>
      <t>L'usage de ce premier byte Read/Write est indiqué dans le Data Sheet du ADS1115 (protocole i2c) mais il ne semble pourtant pas nécessaire !?</t>
    </r>
  </si>
  <si>
    <t>' Codage sur les 7 bits de poids fort ! (1 à 127)</t>
  </si>
  <si>
    <r>
      <t>Hi2csetup</t>
    </r>
    <r>
      <rPr>
        <sz val="11"/>
        <color rgb="FF000000"/>
        <rFont val="Lucida Console"/>
        <family val="3"/>
      </rPr>
      <t xml:space="preserve"> </t>
    </r>
    <r>
      <rPr>
        <sz val="11"/>
        <color rgb="FF0000FF"/>
        <rFont val="Lucida Console"/>
        <family val="3"/>
      </rPr>
      <t>i2cmaster</t>
    </r>
    <r>
      <rPr>
        <sz val="11"/>
        <color rgb="FF000000"/>
        <rFont val="Lucida Console"/>
        <family val="3"/>
      </rPr>
      <t xml:space="preserve">, </t>
    </r>
    <r>
      <rPr>
        <b/>
        <sz val="11"/>
        <color rgb="FF000080"/>
        <rFont val="Lucida Console"/>
        <family val="3"/>
      </rPr>
      <t>%</t>
    </r>
    <r>
      <rPr>
        <b/>
        <u/>
        <sz val="11"/>
        <color rgb="FFFF0000"/>
        <rFont val="Lucida Console"/>
        <family val="3"/>
      </rPr>
      <t>1001000</t>
    </r>
    <r>
      <rPr>
        <b/>
        <sz val="11"/>
        <color rgb="FF000080"/>
        <rFont val="Lucida Console"/>
        <family val="3"/>
      </rPr>
      <t>0</t>
    </r>
    <r>
      <rPr>
        <sz val="11"/>
        <color rgb="FF000000"/>
        <rFont val="Lucida Console"/>
        <family val="3"/>
      </rPr>
      <t xml:space="preserve">, </t>
    </r>
    <r>
      <rPr>
        <sz val="11"/>
        <color rgb="FFFF0000"/>
        <rFont val="Lucida Console"/>
        <family val="3"/>
      </rPr>
      <t>i2cfast_8</t>
    </r>
    <r>
      <rPr>
        <sz val="11"/>
        <color rgb="FF000000"/>
        <rFont val="Lucida Console"/>
        <family val="3"/>
      </rPr>
      <t xml:space="preserve">, </t>
    </r>
    <r>
      <rPr>
        <sz val="11"/>
        <color rgb="FFFF0000"/>
        <rFont val="Lucida Console"/>
        <family val="3"/>
      </rPr>
      <t>i2cbyte</t>
    </r>
    <r>
      <rPr>
        <sz val="11"/>
        <color rgb="FF000000"/>
        <rFont val="Lucida Console"/>
        <family val="3"/>
      </rPr>
      <t xml:space="preserve"> </t>
    </r>
    <r>
      <rPr>
        <sz val="11"/>
        <color rgb="FF00C000"/>
        <rFont val="Lucida Console"/>
        <family val="3"/>
      </rPr>
      <t>'ic2 ADDR config (0x.48)</t>
    </r>
  </si>
  <si>
    <t>Calcul Picaxe</t>
  </si>
  <si>
    <t>(Exact)</t>
  </si>
  <si>
    <t>PGA = 1</t>
  </si>
  <si>
    <t>PGA = 2</t>
  </si>
  <si>
    <t>PGA = 4</t>
  </si>
  <si>
    <t>PGA = 8</t>
  </si>
  <si>
    <t>PGA = 16</t>
  </si>
  <si>
    <t>Y= 0,062500*X</t>
  </si>
  <si>
    <t>Y= 0,125000*X</t>
  </si>
  <si>
    <t>Y= 0,031250*X</t>
  </si>
  <si>
    <t>Y= 0,007813*X</t>
  </si>
  <si>
    <t>Y= 0,015625*X</t>
  </si>
  <si>
    <t>1/Multiplicatr</t>
  </si>
  <si>
    <t>FS</t>
  </si>
  <si>
    <t>Y= 0,00625000*X</t>
  </si>
  <si>
    <t>Y= 0,00312500*X</t>
  </si>
  <si>
    <t>Y= 0,00156250*X</t>
  </si>
  <si>
    <t>Y= 0,00078125*X</t>
  </si>
  <si>
    <t>Y= 0,00039063*X</t>
  </si>
  <si>
    <t>1/32</t>
  </si>
  <si>
    <t>1/64</t>
  </si>
  <si>
    <t>1/128</t>
  </si>
  <si>
    <t>1/256</t>
  </si>
  <si>
    <t>°C/ADC</t>
  </si>
  <si>
    <t>0,00625 = (1/16) /10 = 1/160</t>
  </si>
  <si>
    <t>FS=</t>
  </si>
  <si>
    <t>Y= (0,01250000*X)-50</t>
  </si>
  <si>
    <t>Y=( 0,00625000*X)-50</t>
  </si>
  <si>
    <t>Y=( 0,00312500*X)-50</t>
  </si>
  <si>
    <t>Y=( 0,00156250*X)-50</t>
  </si>
  <si>
    <t>Y=(0,00078125*X)-50</t>
  </si>
  <si>
    <t>1/16</t>
  </si>
  <si>
    <t>1/8</t>
  </si>
  <si>
    <t>-50</t>
  </si>
  <si>
    <t>-500</t>
  </si>
  <si>
    <r>
      <t>Détail du Calcul PICAXE</t>
    </r>
    <r>
      <rPr>
        <u/>
        <sz val="14"/>
        <color theme="9" tint="-0.249977111117893"/>
        <rFont val="Arial"/>
        <family val="2"/>
      </rPr>
      <t xml:space="preserve"> (Nombres entiers)</t>
    </r>
  </si>
  <si>
    <t>ADC /</t>
  </si>
  <si>
    <r>
      <t>ADC</t>
    </r>
    <r>
      <rPr>
        <b/>
        <sz val="18"/>
        <color theme="1"/>
        <rFont val="Arial"/>
        <family val="2"/>
      </rPr>
      <t xml:space="preserve"> /</t>
    </r>
  </si>
  <si>
    <t>PGA=2</t>
  </si>
  <si>
    <r>
      <t xml:space="preserve">' Le bit0 est utilisé pour indiquer le mode lecture/ecriture et peut donc être ignoré pour le i2C Setup </t>
    </r>
    <r>
      <rPr>
        <b/>
        <sz val="20"/>
        <color rgb="FFFF0000"/>
        <rFont val="Arial"/>
        <family val="2"/>
      </rPr>
      <t>*</t>
    </r>
  </si>
  <si>
    <t>Voir aussi FORUM:</t>
  </si>
  <si>
    <t>Initié par Zorgloub  ;))</t>
  </si>
  <si>
    <t>  (1000 - 500)/10, soit =</t>
  </si>
  <si>
    <r>
      <t xml:space="preserve">Comme le TMP36 permet de mesurer des température négatives, le 0 degré Celsius est placé à une </t>
    </r>
    <r>
      <rPr>
        <b/>
        <sz val="11"/>
        <color rgb="FF5E5E5E"/>
        <rFont val="Arial"/>
        <family val="2"/>
      </rPr>
      <t>offset de 500 milliVolts.</t>
    </r>
  </si>
  <si>
    <r>
      <t xml:space="preserve">Donc, si la tension de sortie est de </t>
    </r>
    <r>
      <rPr>
        <b/>
        <sz val="12"/>
        <color rgb="FF5E5E5E"/>
        <rFont val="Arial"/>
        <family val="2"/>
      </rPr>
      <t>1 Volt</t>
    </r>
    <r>
      <rPr>
        <sz val="11"/>
        <color rgb="FF5E5E5E"/>
        <rFont val="Arial"/>
        <family val="2"/>
      </rPr>
      <t>, la température correspondante est de</t>
    </r>
  </si>
  <si>
    <t>PGA=1</t>
  </si>
  <si>
    <t>PGA=4</t>
  </si>
  <si>
    <t>PGA=8</t>
  </si>
  <si>
    <t>PGA=16</t>
  </si>
  <si>
    <t>ADC à 0°C</t>
  </si>
  <si>
    <t>PGA=0,6</t>
  </si>
  <si>
    <t>ADC/PGA</t>
  </si>
  <si>
    <r>
      <t xml:space="preserve">Pour tous les capteurs de température, </t>
    </r>
    <r>
      <rPr>
        <b/>
        <sz val="11"/>
        <color rgb="FF444444"/>
        <rFont val="Arial"/>
        <family val="2"/>
      </rPr>
      <t xml:space="preserve">la tension de sortie ne peut être que positive, </t>
    </r>
  </si>
  <si>
    <t>Le TMP36 est ainsi le plus pratique des capteurs de température intégrés analogiques couvrant une large plage pratique (-40 à +125°C).</t>
  </si>
  <si>
    <t xml:space="preserve"> On convertit le nombre (positif) en base 2, puis on inverse tous les bits </t>
  </si>
  <si>
    <t>BIN</t>
  </si>
  <si>
    <t>DEC</t>
  </si>
  <si>
    <t>-ADC</t>
  </si>
  <si>
    <t xml:space="preserve">On inverse tous les bits </t>
  </si>
  <si>
    <t>X</t>
  </si>
  <si>
    <t>Y</t>
  </si>
  <si>
    <t>+1 =</t>
  </si>
  <si>
    <t>Et on ajoute 1 au résultat</t>
  </si>
  <si>
    <t xml:space="preserve">Bits [11:9] </t>
  </si>
  <si>
    <t>PGA
Full Scale=</t>
  </si>
  <si>
    <t>Valeur décimale =</t>
  </si>
  <si>
    <t>du Full Scale</t>
  </si>
  <si>
    <t>Coef.</t>
  </si>
  <si>
    <t>2/3</t>
  </si>
  <si>
    <t>calcul intermédiaire (C2')</t>
  </si>
  <si>
    <t>Inputs</t>
  </si>
  <si>
    <t>Configurations MUX</t>
  </si>
  <si>
    <t>Différentiel</t>
  </si>
  <si>
    <t>Single-Ended</t>
  </si>
  <si>
    <t>AIN p</t>
  </si>
  <si>
    <t>AIN 0</t>
  </si>
  <si>
    <t>AIN 1</t>
  </si>
  <si>
    <t>AIN 2</t>
  </si>
  <si>
    <t>AIN 3</t>
  </si>
  <si>
    <t>AIN N</t>
  </si>
  <si>
    <t>&amp;</t>
  </si>
  <si>
    <r>
      <t xml:space="preserve">100 : </t>
    </r>
    <r>
      <rPr>
        <sz val="11"/>
        <color rgb="FFFF0000"/>
        <rFont val="Arial"/>
        <family val="2"/>
      </rPr>
      <t>AINP</t>
    </r>
    <r>
      <rPr>
        <sz val="11"/>
        <color theme="1"/>
        <rFont val="Arial"/>
        <family val="2"/>
      </rPr>
      <t xml:space="preserve"> = AIN0 and</t>
    </r>
    <r>
      <rPr>
        <sz val="11"/>
        <color rgb="FF0000FF"/>
        <rFont val="Arial"/>
        <family val="2"/>
      </rPr>
      <t xml:space="preserve"> AIN</t>
    </r>
    <r>
      <rPr>
        <sz val="11"/>
        <color theme="1"/>
        <rFont val="Arial"/>
        <family val="2"/>
      </rPr>
      <t xml:space="preserve">N = </t>
    </r>
    <r>
      <rPr>
        <b/>
        <sz val="11"/>
        <color rgb="FF0000FF"/>
        <rFont val="Arial"/>
        <family val="2"/>
      </rPr>
      <t>GND</t>
    </r>
  </si>
  <si>
    <t xml:space="preserve"> Valeur décimale / mV</t>
  </si>
  <si>
    <t>Volt/ADC_Step</t>
  </si>
  <si>
    <t>Precise value of a ADC_Step</t>
  </si>
  <si>
    <t>Volt par ADC_Step</t>
  </si>
  <si>
    <t>Valeur décimale :</t>
  </si>
  <si>
    <r>
      <t>ADC_Step value</t>
    </r>
    <r>
      <rPr>
        <b/>
        <sz val="22"/>
        <color theme="1"/>
        <rFont val="Arial"/>
        <family val="2"/>
      </rPr>
      <t xml:space="preserve"> = </t>
    </r>
  </si>
  <si>
    <t>Infos issues du DataSheet</t>
  </si>
  <si>
    <t>Les tensions d'entrées analogiques ne doivent jamais dépasser les limites de tension d'entrée analogique indiquées dans le tableau des caractéristiques électriques.</t>
  </si>
  <si>
    <t xml:space="preserve">Notez cependant que dans ce cas (ainsi que pour PGA = 1 et VDD &lt;4V) (FS=4,096V), il n'est pas possible d'atteindre un code de sortie pleine échelle sur l'ADC. </t>
  </si>
  <si>
    <t>ADC_Steps</t>
  </si>
  <si>
    <t>²</t>
  </si>
  <si>
    <t>Setting</t>
  </si>
  <si>
    <t>Le setting PGA = 2/3 (FS=6,144V) permet à la mesure d'entrée de s'étendre jusqu'à la tension d'alimentation lorsque le VDD est supérieur à 4 V. (Max 5V)</t>
  </si>
  <si>
    <r>
      <t xml:space="preserve">32767 valeurs possibles (15 bits) </t>
    </r>
    <r>
      <rPr>
        <u/>
        <sz val="11"/>
        <color theme="1"/>
        <rFont val="Arial"/>
        <family val="2"/>
      </rPr>
      <t xml:space="preserve">+ valeur zéro </t>
    </r>
    <r>
      <rPr>
        <sz val="11"/>
        <color theme="1"/>
        <rFont val="Arial"/>
        <family val="2"/>
      </rPr>
      <t xml:space="preserve">= </t>
    </r>
    <r>
      <rPr>
        <b/>
        <sz val="11"/>
        <color theme="1"/>
        <rFont val="Arial"/>
        <family val="2"/>
      </rPr>
      <t>32768 ADC_Steps pour une tension positive mesurée</t>
    </r>
  </si>
  <si>
    <r>
      <t xml:space="preserve">  </t>
    </r>
    <r>
      <rPr>
        <sz val="22"/>
        <color rgb="FF0070C0"/>
        <rFont val="Wingdings"/>
        <charset val="2"/>
      </rPr>
      <t xml:space="preserve">3 </t>
    </r>
    <r>
      <rPr>
        <b/>
        <sz val="14"/>
        <color theme="1"/>
        <rFont val="Arial"/>
        <family val="2"/>
      </rPr>
      <t xml:space="preserve"> </t>
    </r>
    <r>
      <rPr>
        <b/>
        <sz val="24"/>
        <color theme="1"/>
        <rFont val="Arial"/>
        <family val="2"/>
      </rPr>
      <t>V</t>
    </r>
    <r>
      <rPr>
        <b/>
        <sz val="16"/>
        <color theme="1"/>
        <rFont val="Arial"/>
        <family val="2"/>
      </rPr>
      <t>olts</t>
    </r>
  </si>
  <si>
    <t>µV par ADC_Step:</t>
  </si>
  <si>
    <t>Organisation et valeurs du registre de conversion de l' ADC</t>
  </si>
  <si>
    <r>
      <t xml:space="preserve">Analyse du facteur Gain du PGA </t>
    </r>
    <r>
      <rPr>
        <b/>
        <u/>
        <sz val="22"/>
        <color rgb="FF339933"/>
        <rFont val="Calibri"/>
        <family val="2"/>
        <scheme val="minor"/>
      </rPr>
      <t>(Programmable Gain Amplifier)</t>
    </r>
  </si>
  <si>
    <t>Vin=</t>
  </si>
  <si>
    <t>Coef =</t>
  </si>
  <si>
    <r>
      <rPr>
        <sz val="16"/>
        <color theme="1"/>
        <rFont val="Arial"/>
        <family val="2"/>
      </rPr>
      <t>Multipliée par ADC_Step Value =</t>
    </r>
    <r>
      <rPr>
        <sz val="14"/>
        <color theme="1"/>
        <rFont val="Arial"/>
        <family val="2"/>
      </rPr>
      <t xml:space="preserve">   </t>
    </r>
    <r>
      <rPr>
        <b/>
        <sz val="22"/>
        <color rgb="FF0000FF"/>
        <rFont val="Arial"/>
        <family val="2"/>
      </rPr>
      <t>Vin =</t>
    </r>
  </si>
  <si>
    <t>Equation de la droite régissant le calcul du Complément à Deux</t>
  </si>
  <si>
    <t>Contrôle par Picaxe</t>
  </si>
  <si>
    <t>DecBin</t>
  </si>
  <si>
    <t>BinDec</t>
  </si>
  <si>
    <t>DECBIN((C7)/256;8)&amp;DECBIN(MOD(C7;256);8)</t>
  </si>
  <si>
    <r>
      <t>La méthode simple pour obtenir le</t>
    </r>
    <r>
      <rPr>
        <b/>
        <u/>
        <sz val="24"/>
        <color rgb="FF008000"/>
        <rFont val="Arial"/>
        <family val="2"/>
      </rPr>
      <t xml:space="preserve"> Complément à deux (16 bits)</t>
    </r>
  </si>
  <si>
    <t>SOMMEPROD(1*STXT(C10;LIGNE(INDIRECT("1:"&amp;NBCAR(C10)));1);2^(NBCAR(C10)-LIGNE(INDIRECT("1:"&amp;NBCAR(C10)))))</t>
  </si>
  <si>
    <t>Traitement de valeurs logiques 16 bits</t>
  </si>
  <si>
    <t>DecHex</t>
  </si>
  <si>
    <t>DECHEX(C10)</t>
  </si>
  <si>
    <t>→</t>
  </si>
  <si>
    <t>65536 - ADC =</t>
  </si>
  <si>
    <r>
      <t>Valeur à convertir</t>
    </r>
    <r>
      <rPr>
        <b/>
        <sz val="16"/>
        <color rgb="FFC00000"/>
        <rFont val="Arial"/>
        <family val="2"/>
      </rPr>
      <t xml:space="preserve"> </t>
    </r>
    <r>
      <rPr>
        <b/>
        <sz val="20"/>
        <color rgb="FFC00000"/>
        <rFont val="Calibri"/>
        <family val="2"/>
      </rPr>
      <t>→</t>
    </r>
  </si>
  <si>
    <r>
      <rPr>
        <sz val="18"/>
        <color rgb="FFC00000"/>
        <rFont val="Wingdings"/>
        <charset val="2"/>
      </rPr>
      <t>3</t>
    </r>
    <r>
      <rPr>
        <b/>
        <sz val="18"/>
        <color theme="1"/>
        <rFont val="Calibri"/>
        <family val="2"/>
        <scheme val="minor"/>
      </rPr>
      <t xml:space="preserve"> </t>
    </r>
    <r>
      <rPr>
        <b/>
        <sz val="20"/>
        <color theme="1"/>
        <rFont val="Calibri"/>
        <family val="2"/>
        <scheme val="minor"/>
      </rPr>
      <t>Full Scale</t>
    </r>
    <r>
      <rPr>
        <b/>
        <sz val="18"/>
        <color theme="1"/>
        <rFont val="Calibri"/>
        <family val="2"/>
        <scheme val="minor"/>
      </rPr>
      <t xml:space="preserve"> Vin: </t>
    </r>
  </si>
  <si>
    <t>µV /ADC_Step</t>
  </si>
  <si>
    <t>Calcul inverse donnant la réponse de l'ADS1115:</t>
  </si>
  <si>
    <t>Vcc = 5V</t>
  </si>
  <si>
    <r>
      <t>= V.FS /</t>
    </r>
    <r>
      <rPr>
        <b/>
        <sz val="16"/>
        <color rgb="FF000099"/>
        <rFont val="Arial"/>
        <family val="2"/>
      </rPr>
      <t>3276</t>
    </r>
    <r>
      <rPr>
        <b/>
        <sz val="16"/>
        <color rgb="FFFF3399"/>
        <rFont val="Arial"/>
        <family val="2"/>
      </rPr>
      <t>8</t>
    </r>
  </si>
  <si>
    <r>
      <t>= V.FS /</t>
    </r>
    <r>
      <rPr>
        <b/>
        <sz val="16"/>
        <color rgb="FF000099"/>
        <rFont val="Arial"/>
        <family val="2"/>
      </rPr>
      <t>3276</t>
    </r>
    <r>
      <rPr>
        <b/>
        <sz val="16"/>
        <color rgb="FFFF3399"/>
        <rFont val="Arial"/>
        <family val="2"/>
      </rPr>
      <t>7</t>
    </r>
  </si>
  <si>
    <r>
      <t xml:space="preserve">' Codage </t>
    </r>
    <r>
      <rPr>
        <b/>
        <u/>
        <sz val="12"/>
        <color rgb="FF00B050"/>
        <rFont val="Arial"/>
        <family val="2"/>
      </rPr>
      <t xml:space="preserve">sur les 7 bits de poids fort </t>
    </r>
    <r>
      <rPr>
        <b/>
        <sz val="12"/>
        <color rgb="FF00B050"/>
        <rFont val="Arial"/>
        <family val="2"/>
      </rPr>
      <t>! (1 à 127)</t>
    </r>
  </si>
  <si>
    <t>mV/Step = Value FS /32767</t>
  </si>
  <si>
    <r>
      <t xml:space="preserve">bit15 indicating
a negative value !
</t>
    </r>
    <r>
      <rPr>
        <b/>
        <sz val="12"/>
        <color rgb="FFC00000"/>
        <rFont val="Arial"/>
        <family val="2"/>
      </rPr>
      <t>(For differential mode by</t>
    </r>
    <r>
      <rPr>
        <sz val="14"/>
        <color theme="1"/>
        <rFont val="Arial"/>
        <family val="2"/>
      </rPr>
      <t xml:space="preserve">
</t>
    </r>
    <r>
      <rPr>
        <b/>
        <sz val="12"/>
        <color rgb="FFC00000"/>
        <rFont val="Arial"/>
        <family val="2"/>
      </rPr>
      <t>coding Two's Complement !)</t>
    </r>
  </si>
  <si>
    <t xml:space="preserve">OU  aussi:  </t>
  </si>
  <si>
    <t>Temp en °C = ( ADC/160)-50</t>
  </si>
  <si>
    <t>(Vin - 500)/10</t>
  </si>
  <si>
    <t>(ADC/160)-50</t>
  </si>
  <si>
    <t>%00000001,%10000010,%10000011</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</si>
</sst>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000000000"/>
    <numFmt numFmtId="165" formatCode="0.0000"/>
    <numFmt numFmtId="166" formatCode="0.0"/>
    <numFmt numFmtId="167" formatCode="#,##0.0"/>
    <numFmt numFmtId="168" formatCode="0\°\C"/>
    <numFmt numFmtId="169" formatCode="0.000000"/>
    <numFmt numFmtId="170" formatCode="0.00__\ \µ\V"/>
    <numFmt numFmtId="171" formatCode="0.00000000"/>
    <numFmt numFmtId="172" formatCode="0.0000000000000000"/>
    <numFmt numFmtId="173" formatCode="0.000"/>
    <numFmt numFmtId="174" formatCode="0.00000"/>
    <numFmt numFmtId="175" formatCode="0.0%"/>
    <numFmt numFmtId="176" formatCode="0.000%"/>
    <numFmt numFmtId="177" formatCode="0.000\µ\V"/>
  </numFmts>
  <fonts count="281">
    <font>
      <sz val="11"/>
      <color theme="1"/>
      <name val="Calibri"/>
      <family val="2"/>
      <scheme val="minor"/>
    </font>
    <font>
      <sz val="11"/>
      <color theme="1"/>
      <name val="Arial"/>
      <family val="2"/>
    </font>
    <font>
      <b/>
      <sz val="11"/>
      <color theme="1"/>
      <name val="Arial"/>
      <family val="2"/>
    </font>
    <font>
      <b/>
      <sz val="12"/>
      <color theme="1"/>
      <name val="Arial"/>
      <family val="2"/>
    </font>
    <font>
      <b/>
      <sz val="14"/>
      <color theme="1"/>
      <name val="Arial"/>
      <family val="2"/>
    </font>
    <font>
      <sz val="12"/>
      <color theme="1"/>
      <name val="Arial"/>
      <family val="2"/>
    </font>
    <font>
      <sz val="14"/>
      <color theme="1"/>
      <name val="Arial"/>
      <family val="2"/>
    </font>
    <font>
      <sz val="12"/>
      <color rgb="FFC00000"/>
      <name val="Arial"/>
      <family val="2"/>
    </font>
    <font>
      <sz val="10"/>
      <color theme="1"/>
      <name val="Arial"/>
      <family val="2"/>
    </font>
    <font>
      <b/>
      <sz val="14"/>
      <color rgb="FF0000FF"/>
      <name val="Arial"/>
      <family val="2"/>
    </font>
    <font>
      <b/>
      <sz val="11"/>
      <color rgb="FFFF0000"/>
      <name val="Arial"/>
      <family val="2"/>
    </font>
    <font>
      <b/>
      <u/>
      <sz val="11"/>
      <color rgb="FFFF0000"/>
      <name val="Arial"/>
      <family val="2"/>
    </font>
    <font>
      <sz val="12"/>
      <color theme="1"/>
      <name val="Calibri"/>
      <family val="2"/>
      <scheme val="minor"/>
    </font>
    <font>
      <sz val="11"/>
      <color rgb="FF00C000"/>
      <name val="Lucida Console"/>
      <family val="3"/>
    </font>
    <font>
      <b/>
      <u/>
      <sz val="11"/>
      <color rgb="FF141414"/>
      <name val="Arial"/>
      <family val="2"/>
    </font>
    <font>
      <sz val="11"/>
      <color rgb="FF141414"/>
      <name val="Arial"/>
      <family val="2"/>
    </font>
    <font>
      <b/>
      <sz val="16"/>
      <color theme="1"/>
      <name val="Arial"/>
      <family val="2"/>
    </font>
    <font>
      <b/>
      <sz val="18"/>
      <color theme="1"/>
      <name val="Arial"/>
      <family val="2"/>
    </font>
    <font>
      <sz val="14"/>
      <color rgb="FF0000FF"/>
      <name val="Arial"/>
      <family val="2"/>
    </font>
    <font>
      <sz val="16"/>
      <color theme="1"/>
      <name val="Arial"/>
      <family val="2"/>
    </font>
    <font>
      <b/>
      <u/>
      <sz val="18"/>
      <color rgb="FF339933"/>
      <name val="Arial"/>
      <family val="2"/>
    </font>
    <font>
      <b/>
      <u/>
      <sz val="20"/>
      <color rgb="FF339933"/>
      <name val="Arial"/>
      <family val="2"/>
    </font>
    <font>
      <b/>
      <u/>
      <sz val="22"/>
      <color rgb="FF339933"/>
      <name val="Arial"/>
      <family val="2"/>
    </font>
    <font>
      <b/>
      <u/>
      <sz val="11"/>
      <color rgb="FFC00000"/>
      <name val="Arial"/>
      <family val="2"/>
    </font>
    <font>
      <b/>
      <sz val="11"/>
      <color rgb="FF7030A0"/>
      <name val="Arial"/>
      <family val="2"/>
    </font>
    <font>
      <b/>
      <sz val="11"/>
      <color theme="9" tint="-0.249977111117893"/>
      <name val="Arial"/>
      <family val="2"/>
    </font>
    <font>
      <sz val="11"/>
      <color rgb="FF7030A0"/>
      <name val="Arial"/>
      <family val="2"/>
    </font>
    <font>
      <b/>
      <u/>
      <sz val="11"/>
      <color theme="9" tint="-0.249977111117893"/>
      <name val="Arial"/>
      <family val="2"/>
    </font>
    <font>
      <sz val="11"/>
      <color theme="9" tint="-0.249977111117893"/>
      <name val="Arial"/>
      <family val="2"/>
    </font>
    <font>
      <b/>
      <u/>
      <sz val="16"/>
      <color rgb="FFC00000"/>
      <name val="Arial"/>
      <family val="2"/>
    </font>
    <font>
      <b/>
      <sz val="18"/>
      <color rgb="FFC00000"/>
      <name val="Arial"/>
      <family val="2"/>
    </font>
    <font>
      <b/>
      <sz val="11"/>
      <color theme="9" tint="-0.249977111117893"/>
      <name val="Calibri"/>
      <family val="2"/>
      <scheme val="minor"/>
    </font>
    <font>
      <b/>
      <sz val="48"/>
      <color rgb="FFC00000"/>
      <name val="Arial"/>
      <family val="2"/>
    </font>
    <font>
      <b/>
      <sz val="14"/>
      <color theme="1"/>
      <name val="Calibri"/>
      <family val="2"/>
      <scheme val="minor"/>
    </font>
    <font>
      <b/>
      <sz val="20"/>
      <color theme="1"/>
      <name val="Arial"/>
      <family val="2"/>
    </font>
    <font>
      <b/>
      <sz val="22"/>
      <color theme="1"/>
      <name val="Arial"/>
      <family val="2"/>
    </font>
    <font>
      <sz val="16"/>
      <color theme="1"/>
      <name val="Calibri"/>
      <family val="2"/>
      <scheme val="minor"/>
    </font>
    <font>
      <b/>
      <sz val="18"/>
      <color theme="1"/>
      <name val="Calibri"/>
      <family val="2"/>
      <scheme val="minor"/>
    </font>
    <font>
      <b/>
      <sz val="11"/>
      <color rgb="FF0070C0"/>
      <name val="Arial"/>
      <family val="2"/>
    </font>
    <font>
      <b/>
      <sz val="16"/>
      <color theme="1"/>
      <name val="Calibri"/>
      <family val="2"/>
      <scheme val="minor"/>
    </font>
    <font>
      <b/>
      <sz val="18"/>
      <color rgb="FF0070C0"/>
      <name val="Calibri"/>
      <family val="2"/>
      <scheme val="minor"/>
    </font>
    <font>
      <b/>
      <sz val="12"/>
      <color rgb="FF00B050"/>
      <name val="Arial"/>
      <family val="2"/>
    </font>
    <font>
      <b/>
      <u/>
      <sz val="28"/>
      <color rgb="FF00B050"/>
      <name val="Arial"/>
      <family val="2"/>
    </font>
    <font>
      <sz val="48"/>
      <color rgb="FF0070C0"/>
      <name val="Wingdings"/>
      <charset val="2"/>
    </font>
    <font>
      <sz val="22"/>
      <color rgb="FF0070C0"/>
      <name val="Wingdings"/>
      <charset val="2"/>
    </font>
    <font>
      <sz val="11"/>
      <color rgb="FFFF66FF"/>
      <name val="Calibri"/>
      <family val="2"/>
      <scheme val="minor"/>
    </font>
    <font>
      <b/>
      <u/>
      <sz val="18"/>
      <color rgb="FF00B050"/>
      <name val="Arial"/>
      <family val="2"/>
    </font>
    <font>
      <u/>
      <sz val="11"/>
      <color theme="10"/>
      <name val="Calibri"/>
      <family val="2"/>
      <scheme val="minor"/>
    </font>
    <font>
      <u/>
      <sz val="14"/>
      <color theme="10"/>
      <name val="Calibri"/>
      <family val="2"/>
      <scheme val="minor"/>
    </font>
    <font>
      <u/>
      <sz val="14"/>
      <color theme="10"/>
      <name val="Arial"/>
      <family val="2"/>
    </font>
    <font>
      <b/>
      <u/>
      <sz val="16"/>
      <color rgb="FFC00000"/>
      <name val="Calibri"/>
      <family val="2"/>
      <scheme val="minor"/>
    </font>
    <font>
      <sz val="14"/>
      <color rgb="FF0000FF"/>
      <name val="Courier New"/>
      <family val="3"/>
    </font>
    <font>
      <sz val="14"/>
      <color rgb="FF000000"/>
      <name val="Courier New"/>
      <family val="3"/>
    </font>
    <font>
      <sz val="14"/>
      <color rgb="FF008B8B"/>
      <name val="Courier New"/>
      <family val="3"/>
    </font>
    <font>
      <sz val="14"/>
      <color rgb="FF800080"/>
      <name val="Courier New"/>
      <family val="3"/>
    </font>
    <font>
      <b/>
      <sz val="14"/>
      <color rgb="FF000080"/>
      <name val="Courier New"/>
      <family val="3"/>
    </font>
    <font>
      <sz val="14"/>
      <color rgb="FFFF0000"/>
      <name val="Courier New"/>
      <family val="3"/>
    </font>
    <font>
      <sz val="14"/>
      <color rgb="FF00C000"/>
      <name val="Courier New"/>
      <family val="3"/>
    </font>
    <font>
      <b/>
      <sz val="14"/>
      <color rgb="FFC00000"/>
      <name val="Courier New"/>
      <family val="3"/>
    </font>
    <font>
      <sz val="14"/>
      <color rgb="FF00B050"/>
      <name val="Courier New"/>
      <family val="3"/>
    </font>
    <font>
      <sz val="14"/>
      <color rgb="FFC00000"/>
      <name val="Courier New"/>
      <family val="3"/>
    </font>
    <font>
      <b/>
      <sz val="14"/>
      <color rgb="FF0000FF"/>
      <name val="Courier New"/>
      <family val="3"/>
    </font>
    <font>
      <b/>
      <sz val="14"/>
      <color theme="9" tint="-0.249977111117893"/>
      <name val="Courier New"/>
      <family val="3"/>
    </font>
    <font>
      <sz val="14"/>
      <color theme="9" tint="-0.249977111117893"/>
      <name val="Courier New"/>
      <family val="3"/>
    </font>
    <font>
      <b/>
      <sz val="26"/>
      <color rgb="FF0000FF"/>
      <name val="Arial"/>
      <family val="2"/>
    </font>
    <font>
      <sz val="11"/>
      <color rgb="FF333333"/>
      <name val="Arial"/>
      <family val="2"/>
    </font>
    <font>
      <b/>
      <sz val="18"/>
      <color rgb="FF0000FF"/>
      <name val="Arial"/>
      <family val="2"/>
    </font>
    <font>
      <b/>
      <sz val="24"/>
      <color rgb="FFC00000"/>
      <name val="Arial"/>
      <family val="2"/>
    </font>
    <font>
      <b/>
      <u/>
      <sz val="18"/>
      <color rgb="FF0000FF"/>
      <name val="Arial"/>
      <family val="2"/>
    </font>
    <font>
      <b/>
      <sz val="11"/>
      <color rgb="FF0000FF"/>
      <name val="Arial"/>
      <family val="2"/>
    </font>
    <font>
      <sz val="11"/>
      <color rgb="FFFF0000"/>
      <name val="Arial"/>
      <family val="2"/>
    </font>
    <font>
      <sz val="11"/>
      <color rgb="FF0000FF"/>
      <name val="Arial"/>
      <family val="2"/>
    </font>
    <font>
      <u/>
      <sz val="16"/>
      <color rgb="FF006600"/>
      <name val="Arial"/>
      <family val="2"/>
    </font>
    <font>
      <sz val="11"/>
      <color rgb="FF000000"/>
      <name val="Lucida Console"/>
      <family val="3"/>
    </font>
    <font>
      <sz val="11"/>
      <color rgb="FF0000FF"/>
      <name val="Lucida Console"/>
      <family val="3"/>
    </font>
    <font>
      <b/>
      <sz val="11"/>
      <color rgb="FF000080"/>
      <name val="Lucida Console"/>
      <family val="3"/>
    </font>
    <font>
      <sz val="11"/>
      <color rgb="FFFF0000"/>
      <name val="Lucida Console"/>
      <family val="3"/>
    </font>
    <font>
      <sz val="11"/>
      <color rgb="FF141414"/>
      <name val="Segoe UI"/>
      <family val="2"/>
    </font>
    <font>
      <strike/>
      <sz val="11"/>
      <color rgb="FF141414"/>
      <name val="Arial"/>
      <family val="2"/>
    </font>
    <font>
      <strike/>
      <sz val="11"/>
      <color rgb="FF0070C0"/>
      <name val="Arial"/>
      <family val="2"/>
    </font>
    <font>
      <b/>
      <strike/>
      <sz val="11"/>
      <color rgb="FFC00000"/>
      <name val="Arial"/>
      <family val="2"/>
    </font>
    <font>
      <b/>
      <strike/>
      <sz val="11"/>
      <color theme="9" tint="-0.249977111117893"/>
      <name val="Arial"/>
      <family val="2"/>
    </font>
    <font>
      <b/>
      <sz val="11"/>
      <color rgb="FF006600"/>
      <name val="Segoe UI"/>
      <family val="2"/>
    </font>
    <font>
      <sz val="11"/>
      <color rgb="FF141414"/>
      <name val="Inherit"/>
    </font>
    <font>
      <sz val="11"/>
      <color rgb="FF339933"/>
      <name val="Inherit"/>
    </font>
    <font>
      <b/>
      <sz val="12"/>
      <color rgb="FF141414"/>
      <name val="Lucida Console"/>
      <family val="3"/>
    </font>
    <font>
      <b/>
      <sz val="14"/>
      <color rgb="FFC00000"/>
      <name val="Arial"/>
      <family val="2"/>
    </font>
    <font>
      <sz val="14"/>
      <color theme="1"/>
      <name val="Calibri"/>
      <family val="2"/>
      <scheme val="minor"/>
    </font>
    <font>
      <b/>
      <sz val="14"/>
      <color theme="1"/>
      <name val="Calibri"/>
      <family val="2"/>
    </font>
    <font>
      <b/>
      <u/>
      <sz val="14"/>
      <color theme="1"/>
      <name val="Arial"/>
      <family val="2"/>
    </font>
    <font>
      <b/>
      <sz val="12"/>
      <color rgb="FFFF0000"/>
      <name val="Arial"/>
      <family val="2"/>
    </font>
    <font>
      <b/>
      <u/>
      <sz val="22"/>
      <color rgb="FF0070C0"/>
      <name val="Arial"/>
      <family val="2"/>
    </font>
    <font>
      <b/>
      <sz val="12"/>
      <color theme="9" tint="-0.249977111117893"/>
      <name val="Arial"/>
      <family val="2"/>
    </font>
    <font>
      <sz val="11"/>
      <color indexed="81"/>
      <name val="Arial"/>
      <family val="2"/>
    </font>
    <font>
      <u/>
      <sz val="11"/>
      <color indexed="81"/>
      <name val="Arial"/>
      <family val="2"/>
    </font>
    <font>
      <sz val="10"/>
      <color indexed="81"/>
      <name val="Arial"/>
      <family val="2"/>
    </font>
    <font>
      <b/>
      <sz val="12"/>
      <color indexed="81"/>
      <name val="Arial"/>
      <family val="2"/>
    </font>
    <font>
      <b/>
      <sz val="12"/>
      <color rgb="FF006600"/>
      <name val="Arial"/>
      <family val="2"/>
    </font>
    <font>
      <b/>
      <sz val="12"/>
      <color rgb="FF006600"/>
      <name val="Calibri"/>
      <family val="2"/>
    </font>
    <font>
      <b/>
      <sz val="14"/>
      <color theme="3" tint="0.39997558519241921"/>
      <name val="Arial"/>
      <family val="2"/>
    </font>
    <font>
      <b/>
      <sz val="14"/>
      <color theme="3" tint="0.39997558519241921"/>
      <name val="Calibri"/>
      <family val="2"/>
      <scheme val="minor"/>
    </font>
    <font>
      <i/>
      <sz val="12"/>
      <color theme="1"/>
      <name val="Arial"/>
      <family val="2"/>
    </font>
    <font>
      <i/>
      <sz val="12"/>
      <color theme="1"/>
      <name val="Calibri"/>
      <family val="2"/>
      <scheme val="minor"/>
    </font>
    <font>
      <b/>
      <sz val="20"/>
      <color theme="1"/>
      <name val="Calibri"/>
      <family val="2"/>
      <scheme val="minor"/>
    </font>
    <font>
      <b/>
      <sz val="22"/>
      <color theme="1"/>
      <name val="Calibri"/>
      <family val="2"/>
      <scheme val="minor"/>
    </font>
    <font>
      <b/>
      <sz val="26"/>
      <color theme="1"/>
      <name val="Calibri"/>
      <family val="2"/>
      <scheme val="minor"/>
    </font>
    <font>
      <sz val="11"/>
      <color rgb="FFC00000"/>
      <name val="Arial"/>
      <family val="2"/>
    </font>
    <font>
      <sz val="14"/>
      <color theme="9" tint="-0.249977111117893"/>
      <name val="Calibri"/>
      <family val="2"/>
      <scheme val="minor"/>
    </font>
    <font>
      <sz val="10"/>
      <color indexed="81"/>
      <name val="Tahoma"/>
      <family val="2"/>
    </font>
    <font>
      <sz val="12"/>
      <color indexed="81"/>
      <name val="Tahoma"/>
      <family val="2"/>
    </font>
    <font>
      <b/>
      <u/>
      <sz val="10"/>
      <color indexed="81"/>
      <name val="Tahoma"/>
      <family val="2"/>
    </font>
    <font>
      <b/>
      <u/>
      <sz val="22"/>
      <color theme="1"/>
      <name val="Arial"/>
      <family val="2"/>
    </font>
    <font>
      <u/>
      <sz val="22"/>
      <color theme="1"/>
      <name val="Calibri"/>
      <family val="2"/>
      <scheme val="minor"/>
    </font>
    <font>
      <b/>
      <sz val="16"/>
      <color rgb="FFFF0000"/>
      <name val="Arial"/>
      <family val="2"/>
    </font>
    <font>
      <sz val="22"/>
      <color theme="8" tint="-0.249977111117893"/>
      <name val="Wingdings"/>
      <charset val="2"/>
    </font>
    <font>
      <sz val="22"/>
      <color theme="9" tint="-0.249977111117893"/>
      <name val="Wingdings"/>
      <charset val="2"/>
    </font>
    <font>
      <sz val="28"/>
      <color theme="9" tint="-0.499984740745262"/>
      <name val="Wingdings"/>
      <charset val="2"/>
    </font>
    <font>
      <b/>
      <sz val="16"/>
      <color indexed="81"/>
      <name val="Arial"/>
      <family val="2"/>
    </font>
    <font>
      <sz val="12"/>
      <color indexed="81"/>
      <name val="Arial"/>
      <family val="2"/>
    </font>
    <font>
      <sz val="14"/>
      <color indexed="81"/>
      <name val="Arial"/>
      <family val="2"/>
    </font>
    <font>
      <sz val="14"/>
      <color indexed="60"/>
      <name val="Arial"/>
      <family val="2"/>
    </font>
    <font>
      <b/>
      <u/>
      <sz val="16"/>
      <color indexed="18"/>
      <name val="Arial"/>
      <family val="2"/>
    </font>
    <font>
      <b/>
      <u/>
      <sz val="18"/>
      <color theme="1"/>
      <name val="Arial"/>
      <family val="2"/>
    </font>
    <font>
      <b/>
      <u/>
      <sz val="22"/>
      <color theme="1"/>
      <name val="Calibri"/>
      <family val="2"/>
      <scheme val="minor"/>
    </font>
    <font>
      <b/>
      <u/>
      <sz val="12"/>
      <color indexed="81"/>
      <name val="Tahoma"/>
      <family val="2"/>
    </font>
    <font>
      <b/>
      <u/>
      <sz val="14"/>
      <color indexed="81"/>
      <name val="Tahoma"/>
      <family val="2"/>
    </font>
    <font>
      <b/>
      <u/>
      <sz val="12"/>
      <color indexed="81"/>
      <name val="Arial"/>
      <family val="2"/>
    </font>
    <font>
      <b/>
      <u/>
      <sz val="18"/>
      <color indexed="18"/>
      <name val="Arial"/>
      <family val="2"/>
    </font>
    <font>
      <sz val="24"/>
      <color rgb="FFC00000"/>
      <name val="Calibri"/>
      <family val="2"/>
      <scheme val="minor"/>
    </font>
    <font>
      <b/>
      <u/>
      <sz val="16"/>
      <color theme="1"/>
      <name val="Arial"/>
      <family val="2"/>
    </font>
    <font>
      <b/>
      <sz val="14"/>
      <color rgb="FF00B050"/>
      <name val="Arial"/>
      <family val="2"/>
    </font>
    <font>
      <sz val="11"/>
      <color rgb="FFFF66FF"/>
      <name val="Arial"/>
      <family val="2"/>
    </font>
    <font>
      <b/>
      <sz val="11"/>
      <color rgb="FFC00000"/>
      <name val="Arial"/>
      <family val="2"/>
    </font>
    <font>
      <b/>
      <sz val="20"/>
      <color indexed="10"/>
      <name val="Arial"/>
      <family val="2"/>
    </font>
    <font>
      <sz val="12"/>
      <color indexed="60"/>
      <name val="Arial"/>
      <family val="2"/>
    </font>
    <font>
      <b/>
      <sz val="14"/>
      <color indexed="81"/>
      <name val="Arial"/>
      <family val="2"/>
    </font>
    <font>
      <sz val="18"/>
      <color indexed="81"/>
      <name val="Arial"/>
      <family val="2"/>
    </font>
    <font>
      <b/>
      <sz val="12"/>
      <color indexed="12"/>
      <name val="Arial"/>
      <family val="2"/>
    </font>
    <font>
      <b/>
      <sz val="16"/>
      <color rgb="FF00B0F0"/>
      <name val="Arial"/>
      <family val="2"/>
    </font>
    <font>
      <b/>
      <i/>
      <sz val="16"/>
      <color rgb="FF00B0F0"/>
      <name val="Arial"/>
      <family val="2"/>
    </font>
    <font>
      <i/>
      <sz val="11"/>
      <color theme="1"/>
      <name val="Arial"/>
      <family val="2"/>
    </font>
    <font>
      <b/>
      <sz val="16"/>
      <color theme="9" tint="-0.249977111117893"/>
      <name val="Arial"/>
      <family val="2"/>
    </font>
    <font>
      <u/>
      <sz val="22"/>
      <color theme="1"/>
      <name val="Arial"/>
      <family val="2"/>
    </font>
    <font>
      <sz val="36"/>
      <color rgb="FFC00000"/>
      <name val="Wingdings"/>
      <charset val="2"/>
    </font>
    <font>
      <sz val="18"/>
      <color rgb="FFC00000"/>
      <name val="Calibri"/>
      <family val="2"/>
    </font>
    <font>
      <b/>
      <u/>
      <sz val="12"/>
      <color theme="9" tint="-0.499984740745262"/>
      <name val="Arial"/>
      <family val="2"/>
    </font>
    <font>
      <sz val="14"/>
      <color theme="9" tint="-0.249977111117893"/>
      <name val="Arial"/>
      <family val="2"/>
    </font>
    <font>
      <b/>
      <sz val="11"/>
      <color theme="8" tint="-0.249977111117893"/>
      <name val="Arial"/>
      <family val="2"/>
    </font>
    <font>
      <b/>
      <sz val="20"/>
      <color rgb="FF00B0F0"/>
      <name val="Arial"/>
      <family val="2"/>
    </font>
    <font>
      <b/>
      <sz val="14"/>
      <color rgb="FFFF66FF"/>
      <name val="Arial"/>
      <family val="2"/>
    </font>
    <font>
      <sz val="10"/>
      <color rgb="FF333333"/>
      <name val="Verdana"/>
      <family val="2"/>
    </font>
    <font>
      <sz val="10"/>
      <color rgb="FF000000"/>
      <name val="Arial Narrow"/>
      <family val="2"/>
    </font>
    <font>
      <b/>
      <sz val="10"/>
      <color indexed="81"/>
      <name val="Tahoma"/>
      <family val="2"/>
    </font>
    <font>
      <b/>
      <u/>
      <sz val="16"/>
      <color theme="1"/>
      <name val="Calibri"/>
      <family val="2"/>
      <scheme val="minor"/>
    </font>
    <font>
      <sz val="11"/>
      <color rgb="FF4A5359"/>
      <name val="Arial"/>
      <family val="2"/>
    </font>
    <font>
      <b/>
      <sz val="12"/>
      <color theme="1"/>
      <name val="Calibri"/>
      <family val="2"/>
      <scheme val="minor"/>
    </font>
    <font>
      <b/>
      <sz val="12"/>
      <name val="Arial"/>
      <family val="2"/>
    </font>
    <font>
      <i/>
      <sz val="12"/>
      <color rgb="FF0000FF"/>
      <name val="Calibri"/>
      <family val="2"/>
      <scheme val="minor"/>
    </font>
    <font>
      <sz val="48"/>
      <color rgb="FFC00000"/>
      <name val="Wingdings"/>
      <charset val="2"/>
    </font>
    <font>
      <sz val="24"/>
      <color rgb="FFC00000"/>
      <name val="Calibri"/>
      <family val="2"/>
    </font>
    <font>
      <b/>
      <sz val="24"/>
      <color theme="1"/>
      <name val="Calibri"/>
      <family val="2"/>
      <scheme val="minor"/>
    </font>
    <font>
      <b/>
      <sz val="16"/>
      <color rgb="FF0000FF"/>
      <name val="Arial"/>
      <family val="2"/>
    </font>
    <font>
      <b/>
      <sz val="16"/>
      <color rgb="FFC00000"/>
      <name val="Arial"/>
      <family val="2"/>
    </font>
    <font>
      <i/>
      <sz val="11"/>
      <color theme="1"/>
      <name val="Calibri"/>
      <family val="2"/>
      <scheme val="minor"/>
    </font>
    <font>
      <sz val="14"/>
      <color rgb="FF333333"/>
      <name val="Arial"/>
      <family val="2"/>
    </font>
    <font>
      <sz val="20"/>
      <color theme="1"/>
      <name val="Calibri"/>
      <family val="2"/>
      <scheme val="minor"/>
    </font>
    <font>
      <b/>
      <sz val="24"/>
      <color theme="1"/>
      <name val="Arial"/>
      <family val="2"/>
    </font>
    <font>
      <b/>
      <sz val="16"/>
      <color rgb="FFC00000"/>
      <name val="Calibri"/>
      <family val="2"/>
      <scheme val="minor"/>
    </font>
    <font>
      <b/>
      <u/>
      <sz val="18"/>
      <color rgb="FFC00000"/>
      <name val="Arial"/>
      <family val="2"/>
    </font>
    <font>
      <b/>
      <sz val="22"/>
      <color rgb="FF339933"/>
      <name val="Calibri"/>
      <family val="2"/>
      <scheme val="minor"/>
    </font>
    <font>
      <b/>
      <sz val="16"/>
      <color rgb="FF0070C0"/>
      <name val="Calibri"/>
      <family val="2"/>
      <scheme val="minor"/>
    </font>
    <font>
      <u/>
      <sz val="20"/>
      <color rgb="FFFF0000"/>
      <name val="Calibri"/>
      <family val="2"/>
      <scheme val="minor"/>
    </font>
    <font>
      <b/>
      <sz val="20"/>
      <color theme="3" tint="0.39997558519241921"/>
      <name val="Arial"/>
      <family val="2"/>
    </font>
    <font>
      <b/>
      <sz val="20"/>
      <color theme="3" tint="0.39997558519241921"/>
      <name val="Calibri"/>
      <family val="2"/>
      <scheme val="minor"/>
    </font>
    <font>
      <b/>
      <i/>
      <sz val="14"/>
      <color rgb="FF0066FF"/>
      <name val="Calibri"/>
      <family val="2"/>
      <scheme val="minor"/>
    </font>
    <font>
      <b/>
      <sz val="14"/>
      <color theme="9" tint="-0.249977111117893"/>
      <name val="Arial"/>
      <family val="2"/>
    </font>
    <font>
      <sz val="11"/>
      <color rgb="FF444444"/>
      <name val="Verdana"/>
      <family val="2"/>
    </font>
    <font>
      <sz val="36"/>
      <color indexed="81"/>
      <name val="Wingdings"/>
      <charset val="2"/>
    </font>
    <font>
      <i/>
      <sz val="12"/>
      <color rgb="FF0000FF"/>
      <name val="Arial"/>
      <family val="2"/>
    </font>
    <font>
      <i/>
      <sz val="14"/>
      <color theme="1"/>
      <name val="Calibri"/>
      <family val="2"/>
      <scheme val="minor"/>
    </font>
    <font>
      <b/>
      <sz val="11"/>
      <color theme="1"/>
      <name val="Calibri"/>
      <family val="2"/>
      <scheme val="minor"/>
    </font>
    <font>
      <b/>
      <sz val="14"/>
      <color rgb="FF00B050"/>
      <name val="Calibri"/>
      <family val="2"/>
      <scheme val="minor"/>
    </font>
    <font>
      <b/>
      <sz val="14"/>
      <color rgb="FFFF3399"/>
      <name val="Calibri"/>
      <family val="2"/>
      <scheme val="minor"/>
    </font>
    <font>
      <sz val="10"/>
      <color indexed="14"/>
      <name val="Arial"/>
      <family val="2"/>
    </font>
    <font>
      <u/>
      <sz val="16"/>
      <color theme="1"/>
      <name val="Arial"/>
      <family val="2"/>
    </font>
    <font>
      <b/>
      <u/>
      <sz val="11"/>
      <color rgb="FFFF0000"/>
      <name val="Lucida Console"/>
      <family val="3"/>
    </font>
    <font>
      <b/>
      <sz val="14"/>
      <color rgb="FFFF0000"/>
      <name val="Courier New"/>
      <family val="3"/>
    </font>
    <font>
      <b/>
      <sz val="11"/>
      <color rgb="FFFF0000"/>
      <name val="Lucida Console"/>
      <family val="3"/>
    </font>
    <font>
      <b/>
      <sz val="20"/>
      <color rgb="FFFF0000"/>
      <name val="Arial"/>
      <family val="2"/>
    </font>
    <font>
      <b/>
      <u/>
      <sz val="20"/>
      <color theme="1"/>
      <name val="Arial"/>
      <family val="2"/>
    </font>
    <font>
      <sz val="28"/>
      <color rgb="FF0070C0"/>
      <name val="Wingdings"/>
      <charset val="2"/>
    </font>
    <font>
      <b/>
      <sz val="14"/>
      <color theme="8" tint="-0.249977111117893"/>
      <name val="Arial"/>
      <family val="2"/>
    </font>
    <font>
      <b/>
      <u/>
      <sz val="20"/>
      <color rgb="FF0000FF"/>
      <name val="Arial"/>
      <family val="2"/>
    </font>
    <font>
      <b/>
      <sz val="18"/>
      <color theme="9" tint="-0.249977111117893"/>
      <name val="Arial"/>
      <family val="2"/>
    </font>
    <font>
      <b/>
      <u/>
      <sz val="16"/>
      <color theme="9" tint="-0.499984740745262"/>
      <name val="Arial"/>
      <family val="2"/>
    </font>
    <font>
      <b/>
      <sz val="12"/>
      <color indexed="53"/>
      <name val="Arial"/>
      <family val="2"/>
    </font>
    <font>
      <b/>
      <u/>
      <sz val="20"/>
      <color theme="9" tint="-0.499984740745262"/>
      <name val="Arial"/>
      <family val="2"/>
    </font>
    <font>
      <sz val="11"/>
      <color theme="9" tint="-0.499984740745262"/>
      <name val="Calibri"/>
      <family val="2"/>
      <scheme val="minor"/>
    </font>
    <font>
      <b/>
      <sz val="16"/>
      <name val="Arial"/>
      <family val="2"/>
    </font>
    <font>
      <b/>
      <sz val="20"/>
      <color rgb="FF339933"/>
      <name val="Arial"/>
      <family val="2"/>
    </font>
    <font>
      <b/>
      <u/>
      <sz val="20"/>
      <color theme="9" tint="-0.249977111117893"/>
      <name val="Arial"/>
      <family val="2"/>
    </font>
    <font>
      <u/>
      <sz val="14"/>
      <color theme="9" tint="-0.249977111117893"/>
      <name val="Arial"/>
      <family val="2"/>
    </font>
    <font>
      <b/>
      <u/>
      <sz val="14"/>
      <color indexed="81"/>
      <name val="Arial"/>
      <family val="2"/>
    </font>
    <font>
      <b/>
      <sz val="18"/>
      <color indexed="81"/>
      <name val="Arial"/>
      <family val="2"/>
    </font>
    <font>
      <b/>
      <u/>
      <sz val="18"/>
      <color indexed="81"/>
      <name val="Arial"/>
      <family val="2"/>
    </font>
    <font>
      <u/>
      <sz val="18"/>
      <color rgb="FF5E5E5E"/>
      <name val="Arial"/>
      <family val="2"/>
    </font>
    <font>
      <sz val="11"/>
      <color rgb="FF5E5E5E"/>
      <name val="Arial"/>
      <family val="2"/>
    </font>
    <font>
      <b/>
      <sz val="11"/>
      <color rgb="FF5E5E5E"/>
      <name val="Arial"/>
      <family val="2"/>
    </font>
    <font>
      <b/>
      <sz val="12"/>
      <color rgb="FF5E5E5E"/>
      <name val="Arial"/>
      <family val="2"/>
    </font>
    <font>
      <sz val="11"/>
      <color rgb="FF444444"/>
      <name val="Arial"/>
      <family val="2"/>
    </font>
    <font>
      <u/>
      <sz val="20"/>
      <color rgb="FF339933"/>
      <name val="Calibri"/>
      <family val="2"/>
      <scheme val="minor"/>
    </font>
    <font>
      <b/>
      <sz val="11"/>
      <color rgb="FF444444"/>
      <name val="Arial"/>
      <family val="2"/>
    </font>
    <font>
      <b/>
      <u/>
      <sz val="12"/>
      <color theme="1"/>
      <name val="Arial"/>
      <family val="2"/>
    </font>
    <font>
      <b/>
      <sz val="22"/>
      <color rgb="FFC00000"/>
      <name val="Arial"/>
      <family val="2"/>
    </font>
    <font>
      <b/>
      <sz val="22"/>
      <color rgb="FF0000FF"/>
      <name val="Arial"/>
      <family val="2"/>
    </font>
    <font>
      <sz val="11"/>
      <color theme="1"/>
      <name val="Calibri"/>
      <family val="2"/>
      <scheme val="minor"/>
    </font>
    <font>
      <sz val="18"/>
      <color rgb="FF0000FF"/>
      <name val="Arial"/>
      <family val="2"/>
    </font>
    <font>
      <i/>
      <sz val="11"/>
      <name val="Arial"/>
      <family val="2"/>
    </font>
    <font>
      <b/>
      <sz val="14"/>
      <color rgb="FFFF5050"/>
      <name val="Arial"/>
      <family val="2"/>
    </font>
    <font>
      <b/>
      <u/>
      <sz val="12"/>
      <color rgb="FFC00000"/>
      <name val="Arial"/>
      <family val="2"/>
    </font>
    <font>
      <b/>
      <sz val="18"/>
      <color rgb="FF0000CC"/>
      <name val="Arial"/>
      <family val="2"/>
    </font>
    <font>
      <b/>
      <u/>
      <sz val="14"/>
      <color rgb="FF0070C0"/>
      <name val="Arial"/>
      <family val="2"/>
    </font>
    <font>
      <b/>
      <sz val="16"/>
      <color rgb="FF7030A0"/>
      <name val="Arial"/>
      <family val="2"/>
    </font>
    <font>
      <b/>
      <sz val="18"/>
      <color rgb="FF333333"/>
      <name val="Arial"/>
      <family val="2"/>
    </font>
    <font>
      <b/>
      <sz val="20"/>
      <color rgb="FF333333"/>
      <name val="Arial"/>
      <family val="2"/>
    </font>
    <font>
      <b/>
      <sz val="18"/>
      <color rgb="FFFF0000"/>
      <name val="Arial"/>
      <family val="2"/>
    </font>
    <font>
      <b/>
      <u/>
      <sz val="18"/>
      <color rgb="FFFF0000"/>
      <name val="Arial"/>
      <family val="2"/>
    </font>
    <font>
      <sz val="18"/>
      <color rgb="FFFF0000"/>
      <name val="Arial"/>
      <family val="2"/>
    </font>
    <font>
      <sz val="72"/>
      <color theme="9" tint="-0.499984740745262"/>
      <name val="Wingdings"/>
      <charset val="2"/>
    </font>
    <font>
      <b/>
      <sz val="12"/>
      <color rgb="FFFF3399"/>
      <name val="Arial"/>
      <family val="2"/>
    </font>
    <font>
      <b/>
      <sz val="11"/>
      <color rgb="FFFF3399"/>
      <name val="Arial"/>
      <family val="2"/>
    </font>
    <font>
      <sz val="9"/>
      <color indexed="81"/>
      <name val="Tahoma"/>
      <family val="2"/>
    </font>
    <font>
      <b/>
      <u/>
      <sz val="20"/>
      <color indexed="81"/>
      <name val="Arial"/>
      <family val="2"/>
    </font>
    <font>
      <b/>
      <sz val="18"/>
      <color rgb="FF7030A0"/>
      <name val="Arial"/>
      <family val="2"/>
    </font>
    <font>
      <sz val="18"/>
      <color theme="1"/>
      <name val="Calibri"/>
      <family val="2"/>
      <scheme val="minor"/>
    </font>
    <font>
      <b/>
      <sz val="14"/>
      <color rgb="FF008000"/>
      <name val="Arial"/>
      <family val="2"/>
    </font>
    <font>
      <u/>
      <sz val="11"/>
      <color theme="1"/>
      <name val="Arial"/>
      <family val="2"/>
    </font>
    <font>
      <b/>
      <sz val="28"/>
      <color theme="1"/>
      <name val="Arial"/>
      <family val="2"/>
    </font>
    <font>
      <sz val="9"/>
      <color indexed="81"/>
      <name val="Arial"/>
      <family val="2"/>
    </font>
    <font>
      <b/>
      <u/>
      <sz val="32"/>
      <color rgb="FF339933"/>
      <name val="Calibri"/>
      <family val="2"/>
      <scheme val="minor"/>
    </font>
    <font>
      <b/>
      <u/>
      <sz val="22"/>
      <color rgb="FF339933"/>
      <name val="Calibri"/>
      <family val="2"/>
      <scheme val="minor"/>
    </font>
    <font>
      <b/>
      <sz val="14"/>
      <color rgb="FFFF0000"/>
      <name val="Calibri"/>
      <family val="2"/>
      <scheme val="minor"/>
    </font>
    <font>
      <b/>
      <sz val="24"/>
      <color rgb="FFFF0000"/>
      <name val="Arial"/>
      <family val="2"/>
    </font>
    <font>
      <b/>
      <sz val="16"/>
      <color rgb="FFFF3399"/>
      <name val="Arial"/>
      <family val="2"/>
    </font>
    <font>
      <b/>
      <sz val="16"/>
      <color rgb="FF000099"/>
      <name val="Arial"/>
      <family val="2"/>
    </font>
    <font>
      <sz val="20"/>
      <color rgb="FF00B050"/>
      <name val="Arial"/>
      <family val="2"/>
    </font>
    <font>
      <b/>
      <sz val="12"/>
      <color rgb="FF000099"/>
      <name val="Arial"/>
      <family val="2"/>
    </font>
    <font>
      <sz val="18"/>
      <color theme="1"/>
      <name val="Arial"/>
      <family val="2"/>
    </font>
    <font>
      <u/>
      <sz val="18"/>
      <color theme="1"/>
      <name val="Arial"/>
      <family val="2"/>
    </font>
    <font>
      <b/>
      <u/>
      <sz val="24"/>
      <color rgb="FF339933"/>
      <name val="Arial"/>
      <family val="2"/>
    </font>
    <font>
      <b/>
      <u/>
      <sz val="24"/>
      <color rgb="FF008000"/>
      <name val="Arial"/>
      <family val="2"/>
    </font>
    <font>
      <sz val="28"/>
      <color rgb="FFC00000"/>
      <name val="Wingdings"/>
      <charset val="2"/>
    </font>
    <font>
      <sz val="13"/>
      <color rgb="FFC00000"/>
      <name val="Arial"/>
      <family val="2"/>
    </font>
    <font>
      <sz val="36"/>
      <color rgb="FF7030A0"/>
      <name val="Wingdings"/>
      <charset val="2"/>
    </font>
    <font>
      <sz val="22"/>
      <color rgb="FF0070C0"/>
      <name val="Calibri"/>
      <family val="2"/>
    </font>
    <font>
      <sz val="11"/>
      <color theme="0"/>
      <name val="Arial"/>
      <family val="2"/>
    </font>
    <font>
      <i/>
      <sz val="12"/>
      <color rgb="FF000099"/>
      <name val="Arial"/>
      <family val="2"/>
    </font>
    <font>
      <i/>
      <sz val="12"/>
      <color rgb="FF000099"/>
      <name val="Calibri"/>
      <family val="2"/>
      <scheme val="minor"/>
    </font>
    <font>
      <i/>
      <sz val="11"/>
      <color rgb="FF000099"/>
      <name val="Arial"/>
      <family val="2"/>
    </font>
    <font>
      <b/>
      <sz val="26"/>
      <color theme="2" tint="-0.499984740745262"/>
      <name val="Arial"/>
      <family val="2"/>
    </font>
    <font>
      <b/>
      <sz val="26"/>
      <color theme="2" tint="-0.499984740745262"/>
      <name val="Calibri"/>
      <family val="2"/>
      <scheme val="minor"/>
    </font>
    <font>
      <b/>
      <sz val="20"/>
      <name val="Arial"/>
      <family val="2"/>
    </font>
    <font>
      <b/>
      <sz val="20"/>
      <color rgb="FF0000FF"/>
      <name val="Arial"/>
      <family val="2"/>
    </font>
    <font>
      <b/>
      <sz val="20"/>
      <color rgb="FFC00000"/>
      <name val="Calibri"/>
      <family val="2"/>
    </font>
    <font>
      <sz val="18"/>
      <color rgb="FFC00000"/>
      <name val="Wingdings"/>
      <charset val="2"/>
    </font>
    <font>
      <b/>
      <sz val="20"/>
      <color rgb="FF000099"/>
      <name val="Arial"/>
      <family val="2"/>
    </font>
    <font>
      <b/>
      <sz val="20"/>
      <color rgb="FFC00000"/>
      <name val="Arial"/>
      <family val="2"/>
    </font>
    <font>
      <b/>
      <u/>
      <sz val="20"/>
      <color rgb="FFC00000"/>
      <name val="Arial"/>
      <family val="2"/>
    </font>
    <font>
      <b/>
      <sz val="28"/>
      <color rgb="FF0000FF"/>
      <name val="Arial"/>
      <family val="2"/>
    </font>
    <font>
      <b/>
      <sz val="28"/>
      <color rgb="FF0000FF"/>
      <name val="Calibri"/>
      <family val="2"/>
      <scheme val="minor"/>
    </font>
    <font>
      <b/>
      <u/>
      <sz val="24"/>
      <color rgb="FF006600"/>
      <name val="Calibri"/>
      <family val="2"/>
      <scheme val="minor"/>
    </font>
    <font>
      <sz val="18"/>
      <color rgb="FF0033CC"/>
      <name val="Arial"/>
      <family val="2"/>
    </font>
    <font>
      <b/>
      <u/>
      <sz val="28"/>
      <color rgb="FFFF0000"/>
      <name val="Calibri"/>
      <family val="2"/>
      <scheme val="minor"/>
    </font>
    <font>
      <b/>
      <u/>
      <sz val="24"/>
      <color rgb="FFFF3399"/>
      <name val="Calibri"/>
      <family val="2"/>
      <scheme val="minor"/>
    </font>
    <font>
      <b/>
      <sz val="24"/>
      <color rgb="FF008000"/>
      <name val="Arial"/>
      <family val="2"/>
    </font>
    <font>
      <b/>
      <u/>
      <sz val="22"/>
      <color rgb="FFFF3399"/>
      <name val="Arial"/>
      <family val="2"/>
    </font>
    <font>
      <sz val="20"/>
      <color rgb="FF339933"/>
      <name val="Calibri"/>
      <family val="2"/>
      <scheme val="minor"/>
    </font>
    <font>
      <b/>
      <u/>
      <sz val="12"/>
      <color rgb="FF00B050"/>
      <name val="Arial"/>
      <family val="2"/>
    </font>
    <font>
      <sz val="11"/>
      <color rgb="FF0033CC"/>
      <name val="Arial"/>
      <family val="2"/>
    </font>
    <font>
      <b/>
      <i/>
      <sz val="11"/>
      <color theme="1"/>
      <name val="Arial"/>
      <family val="2"/>
    </font>
    <font>
      <b/>
      <sz val="12"/>
      <color rgb="FFC00000"/>
      <name val="Arial"/>
      <family val="2"/>
    </font>
  </fonts>
  <fills count="24">
    <fill>
      <patternFill patternType="none"/>
    </fill>
    <fill>
      <patternFill patternType="gray125"/>
    </fill>
    <fill>
      <patternFill patternType="solid">
        <fgColor rgb="FFCCFFCC"/>
        <bgColor indexed="64"/>
      </patternFill>
    </fill>
    <fill>
      <patternFill patternType="solid">
        <fgColor rgb="FFFFFFCC"/>
        <bgColor indexed="64"/>
      </patternFill>
    </fill>
    <fill>
      <patternFill patternType="solid">
        <fgColor rgb="FFFFCCFF"/>
        <bgColor indexed="64"/>
      </patternFill>
    </fill>
    <fill>
      <patternFill patternType="solid">
        <fgColor rgb="FFFFFF00"/>
        <bgColor indexed="64"/>
      </patternFill>
    </fill>
    <fill>
      <patternFill patternType="solid">
        <fgColor rgb="FFCCFFFF"/>
        <bgColor indexed="64"/>
      </patternFill>
    </fill>
    <fill>
      <patternFill patternType="solid">
        <fgColor theme="9" tint="0.79998168889431442"/>
        <bgColor indexed="64"/>
      </patternFill>
    </fill>
    <fill>
      <patternFill patternType="solid">
        <fgColor rgb="FFFFC000"/>
        <bgColor indexed="64"/>
      </patternFill>
    </fill>
    <fill>
      <patternFill patternType="solid">
        <fgColor rgb="FF00CC00"/>
        <bgColor indexed="64"/>
      </patternFill>
    </fill>
    <fill>
      <patternFill patternType="solid">
        <fgColor theme="9" tint="0.59996337778862885"/>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92D050"/>
        <bgColor indexed="64"/>
      </patternFill>
    </fill>
    <fill>
      <patternFill patternType="solid">
        <fgColor rgb="FF66FFFF"/>
        <bgColor indexed="64"/>
      </patternFill>
    </fill>
    <fill>
      <patternFill patternType="solid">
        <fgColor rgb="FFFF6699"/>
        <bgColor indexed="64"/>
      </patternFill>
    </fill>
    <fill>
      <patternFill patternType="solid">
        <fgColor rgb="FF99FF99"/>
        <bgColor indexed="64"/>
      </patternFill>
    </fill>
    <fill>
      <patternFill patternType="solid">
        <fgColor theme="9" tint="0.59999389629810485"/>
        <bgColor indexed="64"/>
      </patternFill>
    </fill>
    <fill>
      <patternFill patternType="solid">
        <fgColor rgb="FFE6FBFE"/>
        <bgColor indexed="64"/>
      </patternFill>
    </fill>
    <fill>
      <patternFill patternType="solid">
        <fgColor theme="8" tint="0.59999389629810485"/>
        <bgColor indexed="64"/>
      </patternFill>
    </fill>
  </fills>
  <borders count="193">
    <border>
      <left/>
      <right/>
      <top/>
      <bottom/>
      <diagonal/>
    </border>
    <border>
      <left style="medium">
        <color auto="1"/>
      </left>
      <right style="medium">
        <color auto="1"/>
      </right>
      <top style="medium">
        <color auto="1"/>
      </top>
      <bottom style="medium">
        <color auto="1"/>
      </bottom>
      <diagonal/>
    </border>
    <border>
      <left style="thick">
        <color auto="1"/>
      </left>
      <right style="thick">
        <color auto="1"/>
      </right>
      <top style="thick">
        <color auto="1"/>
      </top>
      <bottom style="thick">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ck">
        <color auto="1"/>
      </left>
      <right style="medium">
        <color auto="1"/>
      </right>
      <top style="medium">
        <color auto="1"/>
      </top>
      <bottom style="medium">
        <color auto="1"/>
      </bottom>
      <diagonal/>
    </border>
    <border>
      <left style="thick">
        <color auto="1"/>
      </left>
      <right/>
      <top style="medium">
        <color auto="1"/>
      </top>
      <bottom style="medium">
        <color auto="1"/>
      </bottom>
      <diagonal/>
    </border>
    <border>
      <left style="thick">
        <color auto="1"/>
      </left>
      <right/>
      <top style="medium">
        <color auto="1"/>
      </top>
      <bottom/>
      <diagonal/>
    </border>
    <border>
      <left style="thick">
        <color auto="1"/>
      </left>
      <right/>
      <top/>
      <bottom/>
      <diagonal/>
    </border>
    <border>
      <left style="thick">
        <color auto="1"/>
      </left>
      <right/>
      <top/>
      <bottom style="medium">
        <color auto="1"/>
      </bottom>
      <diagonal/>
    </border>
    <border>
      <left style="medium">
        <color auto="1"/>
      </left>
      <right style="thick">
        <color auto="1"/>
      </right>
      <top style="medium">
        <color auto="1"/>
      </top>
      <bottom style="medium">
        <color auto="1"/>
      </bottom>
      <diagonal/>
    </border>
    <border>
      <left style="medium">
        <color auto="1"/>
      </left>
      <right style="thick">
        <color auto="1"/>
      </right>
      <top style="medium">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auto="1"/>
      </left>
      <right style="thick">
        <color auto="1"/>
      </right>
      <top style="medium">
        <color auto="1"/>
      </top>
      <bottom style="medium">
        <color auto="1"/>
      </bottom>
      <diagonal/>
    </border>
    <border>
      <left/>
      <right style="thick">
        <color auto="1"/>
      </right>
      <top style="medium">
        <color auto="1"/>
      </top>
      <bottom/>
      <diagonal/>
    </border>
    <border>
      <left/>
      <right style="thick">
        <color auto="1"/>
      </right>
      <top/>
      <bottom/>
      <diagonal/>
    </border>
    <border>
      <left/>
      <right style="thick">
        <color auto="1"/>
      </right>
      <top/>
      <bottom style="medium">
        <color auto="1"/>
      </bottom>
      <diagonal/>
    </border>
    <border>
      <left style="thick">
        <color auto="1"/>
      </left>
      <right style="thick">
        <color auto="1"/>
      </right>
      <top style="medium">
        <color auto="1"/>
      </top>
      <bottom/>
      <diagonal/>
    </border>
    <border>
      <left style="thick">
        <color auto="1"/>
      </left>
      <right style="thick">
        <color auto="1"/>
      </right>
      <top/>
      <bottom/>
      <diagonal/>
    </border>
    <border>
      <left style="thick">
        <color auto="1"/>
      </left>
      <right style="thick">
        <color auto="1"/>
      </right>
      <top/>
      <bottom style="medium">
        <color auto="1"/>
      </bottom>
      <diagonal/>
    </border>
    <border>
      <left/>
      <right style="thick">
        <color auto="1"/>
      </right>
      <top style="medium">
        <color auto="1"/>
      </top>
      <bottom style="medium">
        <color auto="1"/>
      </bottom>
      <diagonal/>
    </border>
    <border>
      <left style="thick">
        <color rgb="FF00B0F0"/>
      </left>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medium">
        <color auto="1"/>
      </left>
      <right style="medium">
        <color auto="1"/>
      </right>
      <top/>
      <bottom/>
      <diagonal/>
    </border>
    <border>
      <left style="thick">
        <color auto="1"/>
      </left>
      <right style="medium">
        <color auto="1"/>
      </right>
      <top style="medium">
        <color auto="1"/>
      </top>
      <bottom/>
      <diagonal/>
    </border>
    <border>
      <left style="thick">
        <color auto="1"/>
      </left>
      <right style="medium">
        <color auto="1"/>
      </right>
      <top/>
      <bottom/>
      <diagonal/>
    </border>
    <border>
      <left style="thick">
        <color auto="1"/>
      </left>
      <right style="medium">
        <color auto="1"/>
      </right>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medium">
        <color auto="1"/>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thick">
        <color auto="1"/>
      </left>
      <right/>
      <top/>
      <bottom style="thin">
        <color auto="1"/>
      </bottom>
      <diagonal/>
    </border>
    <border>
      <left/>
      <right/>
      <top/>
      <bottom style="thin">
        <color auto="1"/>
      </bottom>
      <diagonal/>
    </border>
    <border>
      <left/>
      <right style="thick">
        <color auto="1"/>
      </right>
      <top/>
      <bottom style="thin">
        <color auto="1"/>
      </bottom>
      <diagonal/>
    </border>
    <border>
      <left style="thick">
        <color auto="1"/>
      </left>
      <right style="thick">
        <color auto="1"/>
      </right>
      <top style="thin">
        <color auto="1"/>
      </top>
      <bottom style="thick">
        <color auto="1"/>
      </bottom>
      <diagonal/>
    </border>
    <border>
      <left/>
      <right/>
      <top/>
      <bottom style="thick">
        <color auto="1"/>
      </bottom>
      <diagonal/>
    </border>
    <border>
      <left style="thick">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top style="thick">
        <color auto="1"/>
      </top>
      <bottom style="thin">
        <color auto="1"/>
      </bottom>
      <diagonal/>
    </border>
    <border>
      <left/>
      <right style="thick">
        <color auto="1"/>
      </right>
      <top style="thick">
        <color auto="1"/>
      </top>
      <bottom style="thin">
        <color auto="1"/>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style="thick">
        <color auto="1"/>
      </left>
      <right style="thick">
        <color auto="1"/>
      </right>
      <top style="thick">
        <color auto="1"/>
      </top>
      <bottom style="thin">
        <color auto="1"/>
      </bottom>
      <diagonal/>
    </border>
    <border>
      <left/>
      <right/>
      <top style="thick">
        <color auto="1"/>
      </top>
      <bottom style="thin">
        <color auto="1"/>
      </bottom>
      <diagonal/>
    </border>
    <border>
      <left style="thick">
        <color auto="1"/>
      </left>
      <right style="thick">
        <color auto="1"/>
      </right>
      <top style="thin">
        <color auto="1"/>
      </top>
      <bottom style="thin">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top style="thin">
        <color auto="1"/>
      </top>
      <bottom style="medium">
        <color auto="1"/>
      </bottom>
      <diagonal/>
    </border>
    <border>
      <left style="thick">
        <color auto="1"/>
      </left>
      <right style="thick">
        <color auto="1"/>
      </right>
      <top/>
      <bottom style="thin">
        <color auto="1"/>
      </bottom>
      <diagonal/>
    </border>
    <border>
      <left style="thick">
        <color auto="1"/>
      </left>
      <right style="thick">
        <color auto="1"/>
      </right>
      <top style="thin">
        <color auto="1"/>
      </top>
      <bottom/>
      <diagonal/>
    </border>
    <border>
      <left style="thick">
        <color auto="1"/>
      </left>
      <right style="thick">
        <color auto="1"/>
      </right>
      <top style="medium">
        <color auto="1"/>
      </top>
      <bottom style="thin">
        <color auto="1"/>
      </bottom>
      <diagonal/>
    </border>
    <border>
      <left/>
      <right/>
      <top style="thick">
        <color auto="1"/>
      </top>
      <bottom style="thick">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auto="1"/>
      </top>
      <bottom/>
      <diagonal/>
    </border>
    <border>
      <left style="thick">
        <color theme="9" tint="0.39994506668294322"/>
      </left>
      <right/>
      <top style="thick">
        <color theme="9" tint="0.39994506668294322"/>
      </top>
      <bottom/>
      <diagonal/>
    </border>
    <border>
      <left/>
      <right/>
      <top style="thick">
        <color theme="9" tint="0.39994506668294322"/>
      </top>
      <bottom/>
      <diagonal/>
    </border>
    <border>
      <left/>
      <right style="thick">
        <color theme="9" tint="0.39994506668294322"/>
      </right>
      <top style="thick">
        <color theme="9" tint="0.39994506668294322"/>
      </top>
      <bottom/>
      <diagonal/>
    </border>
    <border>
      <left style="thick">
        <color theme="9" tint="0.39994506668294322"/>
      </left>
      <right/>
      <top/>
      <bottom/>
      <diagonal/>
    </border>
    <border>
      <left/>
      <right style="thick">
        <color theme="9" tint="0.39994506668294322"/>
      </right>
      <top/>
      <bottom/>
      <diagonal/>
    </border>
    <border>
      <left style="thick">
        <color theme="9" tint="0.39994506668294322"/>
      </left>
      <right/>
      <top/>
      <bottom style="thick">
        <color theme="9" tint="0.39994506668294322"/>
      </bottom>
      <diagonal/>
    </border>
    <border>
      <left/>
      <right/>
      <top/>
      <bottom style="thick">
        <color theme="9" tint="0.39994506668294322"/>
      </bottom>
      <diagonal/>
    </border>
    <border>
      <left/>
      <right style="thick">
        <color theme="9" tint="0.39994506668294322"/>
      </right>
      <top/>
      <bottom style="thick">
        <color theme="9" tint="0.39994506668294322"/>
      </bottom>
      <diagonal/>
    </border>
    <border>
      <left/>
      <right/>
      <top style="mediumDashed">
        <color rgb="FF000000"/>
      </top>
      <bottom style="thick">
        <color rgb="FF000000"/>
      </bottom>
      <diagonal/>
    </border>
    <border>
      <left style="thin">
        <color indexed="64"/>
      </left>
      <right/>
      <top style="thick">
        <color indexed="64"/>
      </top>
      <bottom style="double">
        <color indexed="64"/>
      </bottom>
      <diagonal/>
    </border>
    <border>
      <left/>
      <right style="thick">
        <color indexed="64"/>
      </right>
      <top style="thick">
        <color indexed="64"/>
      </top>
      <bottom style="double">
        <color indexed="64"/>
      </bottom>
      <diagonal/>
    </border>
    <border>
      <left style="thick">
        <color theme="9" tint="-0.24994659260841701"/>
      </left>
      <right/>
      <top style="thick">
        <color theme="9" tint="-0.24994659260841701"/>
      </top>
      <bottom style="thick">
        <color theme="9" tint="-0.24994659260841701"/>
      </bottom>
      <diagonal/>
    </border>
    <border>
      <left/>
      <right/>
      <top style="thick">
        <color theme="9" tint="-0.24994659260841701"/>
      </top>
      <bottom style="thick">
        <color theme="9" tint="-0.24994659260841701"/>
      </bottom>
      <diagonal/>
    </border>
    <border>
      <left/>
      <right style="thick">
        <color theme="9" tint="-0.24994659260841701"/>
      </right>
      <top style="thick">
        <color theme="9" tint="-0.24994659260841701"/>
      </top>
      <bottom style="thick">
        <color theme="9" tint="-0.24994659260841701"/>
      </bottom>
      <diagonal/>
    </border>
    <border>
      <left/>
      <right/>
      <top/>
      <bottom style="double">
        <color indexed="64"/>
      </bottom>
      <diagonal/>
    </border>
    <border>
      <left/>
      <right/>
      <top style="dotted">
        <color auto="1"/>
      </top>
      <bottom style="dotted">
        <color auto="1"/>
      </bottom>
      <diagonal/>
    </border>
    <border>
      <left/>
      <right style="thick">
        <color auto="1"/>
      </right>
      <top style="thick">
        <color auto="1"/>
      </top>
      <bottom style="dotted">
        <color auto="1"/>
      </bottom>
      <diagonal/>
    </border>
    <border>
      <left/>
      <right style="thick">
        <color rgb="FFC00000"/>
      </right>
      <top style="mediumDashed">
        <color auto="1"/>
      </top>
      <bottom style="thick">
        <color auto="1"/>
      </bottom>
      <diagonal/>
    </border>
    <border>
      <left/>
      <right/>
      <top/>
      <bottom style="thick">
        <color rgb="FF000000"/>
      </bottom>
      <diagonal/>
    </border>
    <border>
      <left style="thick">
        <color auto="1"/>
      </left>
      <right/>
      <top/>
      <bottom style="thick">
        <color rgb="FF000000"/>
      </bottom>
      <diagonal/>
    </border>
    <border>
      <left/>
      <right/>
      <top/>
      <bottom style="dashed">
        <color rgb="FF000000"/>
      </bottom>
      <diagonal/>
    </border>
    <border>
      <left style="thick">
        <color auto="1"/>
      </left>
      <right/>
      <top/>
      <bottom style="dashed">
        <color rgb="FF000000"/>
      </bottom>
      <diagonal/>
    </border>
    <border>
      <left/>
      <right style="thick">
        <color auto="1"/>
      </right>
      <top style="thin">
        <color rgb="FF00B0F0"/>
      </top>
      <bottom style="thin">
        <color rgb="FF00B0F0"/>
      </bottom>
      <diagonal/>
    </border>
    <border>
      <left style="thick">
        <color auto="1"/>
      </left>
      <right/>
      <top style="thin">
        <color rgb="FF00B0F0"/>
      </top>
      <bottom style="thin">
        <color rgb="FF00B0F0"/>
      </bottom>
      <diagonal/>
    </border>
    <border>
      <left/>
      <right/>
      <top style="thin">
        <color rgb="FF00B0F0"/>
      </top>
      <bottom style="thin">
        <color rgb="FF00B0F0"/>
      </bottom>
      <diagonal/>
    </border>
    <border>
      <left/>
      <right/>
      <top style="thick">
        <color auto="1"/>
      </top>
      <bottom style="dotted">
        <color auto="1"/>
      </bottom>
      <diagonal/>
    </border>
    <border>
      <left style="thick">
        <color rgb="FFFF0000"/>
      </left>
      <right style="thick">
        <color rgb="FFFF0000"/>
      </right>
      <top/>
      <bottom/>
      <diagonal/>
    </border>
    <border>
      <left style="thick">
        <color rgb="FFFF0000"/>
      </left>
      <right style="thick">
        <color rgb="FFFF0000"/>
      </right>
      <top style="thin">
        <color rgb="FF00B0F0"/>
      </top>
      <bottom style="thin">
        <color rgb="FF00B0F0"/>
      </bottom>
      <diagonal/>
    </border>
    <border>
      <left style="thick">
        <color rgb="FFFF0000"/>
      </left>
      <right style="thick">
        <color rgb="FFFF0000"/>
      </right>
      <top style="mediumDashed">
        <color rgb="FF000000"/>
      </top>
      <bottom style="thick">
        <color rgb="FF000000"/>
      </bottom>
      <diagonal/>
    </border>
    <border>
      <left style="thick">
        <color rgb="FFFF0000"/>
      </left>
      <right style="thick">
        <color rgb="FFFF0000"/>
      </right>
      <top/>
      <bottom style="dashed">
        <color rgb="FF000000"/>
      </bottom>
      <diagonal/>
    </border>
    <border>
      <left style="thick">
        <color rgb="FFFF0000"/>
      </left>
      <right style="thick">
        <color rgb="FFFF0000"/>
      </right>
      <top style="dashed">
        <color rgb="FF000000"/>
      </top>
      <bottom style="thick">
        <color rgb="FFFF0000"/>
      </bottom>
      <diagonal/>
    </border>
    <border>
      <left style="thick">
        <color rgb="FFFF0000"/>
      </left>
      <right style="thick">
        <color rgb="FFFF0000"/>
      </right>
      <top style="thick">
        <color rgb="FFFF0000"/>
      </top>
      <bottom style="dotted">
        <color auto="1"/>
      </bottom>
      <diagonal/>
    </border>
    <border>
      <left style="thick">
        <color theme="9" tint="-0.24994659260841701"/>
      </left>
      <right style="thick">
        <color theme="9" tint="-0.24994659260841701"/>
      </right>
      <top/>
      <bottom style="thick">
        <color rgb="FFFF0000"/>
      </bottom>
      <diagonal/>
    </border>
    <border>
      <left style="thick">
        <color auto="1"/>
      </left>
      <right/>
      <top style="thick">
        <color auto="1"/>
      </top>
      <bottom/>
      <diagonal/>
    </border>
    <border>
      <left style="thick">
        <color theme="9" tint="-0.24994659260841701"/>
      </left>
      <right style="thick">
        <color theme="9" tint="-0.24994659260841701"/>
      </right>
      <top style="thick">
        <color auto="1"/>
      </top>
      <bottom/>
      <diagonal/>
    </border>
    <border>
      <left style="thick">
        <color rgb="FF0000FF"/>
      </left>
      <right/>
      <top style="thick">
        <color rgb="FF0000FF"/>
      </top>
      <bottom/>
      <diagonal/>
    </border>
    <border>
      <left style="thick">
        <color rgb="FF0000FF"/>
      </left>
      <right/>
      <top/>
      <bottom/>
      <diagonal/>
    </border>
    <border>
      <left style="thick">
        <color rgb="FF0000FF"/>
      </left>
      <right/>
      <top style="thick">
        <color auto="1"/>
      </top>
      <bottom style="dotted">
        <color auto="1"/>
      </bottom>
      <diagonal/>
    </border>
    <border>
      <left style="thick">
        <color rgb="FF0000FF"/>
      </left>
      <right/>
      <top style="thin">
        <color rgb="FF00B0F0"/>
      </top>
      <bottom style="thin">
        <color rgb="FF00B0F0"/>
      </bottom>
      <diagonal/>
    </border>
    <border>
      <left style="thick">
        <color rgb="FF0000FF"/>
      </left>
      <right/>
      <top style="mediumDashed">
        <color auto="1"/>
      </top>
      <bottom style="thick">
        <color auto="1"/>
      </bottom>
      <diagonal/>
    </border>
    <border>
      <left style="thick">
        <color rgb="FF0000FF"/>
      </left>
      <right/>
      <top/>
      <bottom style="dashed">
        <color rgb="FF000000"/>
      </bottom>
      <diagonal/>
    </border>
    <border>
      <left style="thick">
        <color rgb="FF0000FF"/>
      </left>
      <right/>
      <top/>
      <bottom style="thick">
        <color rgb="FF0000FF"/>
      </bottom>
      <diagonal/>
    </border>
    <border>
      <left style="thick">
        <color rgb="FF0000FF"/>
      </left>
      <right style="thick">
        <color rgb="FF0000FF"/>
      </right>
      <top style="thick">
        <color rgb="FF0000FF"/>
      </top>
      <bottom/>
      <diagonal/>
    </border>
    <border>
      <left style="thick">
        <color rgb="FF0000FF"/>
      </left>
      <right style="thick">
        <color rgb="FF0000FF"/>
      </right>
      <top/>
      <bottom style="medium">
        <color rgb="FF000000"/>
      </bottom>
      <diagonal/>
    </border>
    <border>
      <left style="thick">
        <color rgb="FF0000FF"/>
      </left>
      <right style="thick">
        <color rgb="FF0000FF"/>
      </right>
      <top style="medium">
        <color rgb="FF000000"/>
      </top>
      <bottom style="medium">
        <color rgb="FF000000"/>
      </bottom>
      <diagonal/>
    </border>
    <border>
      <left style="thick">
        <color rgb="FF0000FF"/>
      </left>
      <right style="thick">
        <color rgb="FF0000FF"/>
      </right>
      <top style="medium">
        <color rgb="FF000000"/>
      </top>
      <bottom/>
      <diagonal/>
    </border>
    <border>
      <left style="thick">
        <color rgb="FF0000FF"/>
      </left>
      <right style="thick">
        <color rgb="FF0000FF"/>
      </right>
      <top style="mediumDashed">
        <color rgb="FF000000"/>
      </top>
      <bottom style="thick">
        <color rgb="FF000000"/>
      </bottom>
      <diagonal/>
    </border>
    <border>
      <left style="thick">
        <color rgb="FF0000FF"/>
      </left>
      <right style="thick">
        <color rgb="FF0000FF"/>
      </right>
      <top style="medium">
        <color rgb="FF000000"/>
      </top>
      <bottom style="dashed">
        <color rgb="FF000000"/>
      </bottom>
      <diagonal/>
    </border>
    <border>
      <left style="thick">
        <color rgb="FF0000FF"/>
      </left>
      <right style="thick">
        <color rgb="FF0000FF"/>
      </right>
      <top/>
      <bottom style="thick">
        <color rgb="FF0000FF"/>
      </bottom>
      <diagonal/>
    </border>
    <border>
      <left style="medium">
        <color rgb="FF00B050"/>
      </left>
      <right/>
      <top style="medium">
        <color rgb="FF00B050"/>
      </top>
      <bottom/>
      <diagonal/>
    </border>
    <border>
      <left/>
      <right style="medium">
        <color rgb="FF00B050"/>
      </right>
      <top style="medium">
        <color rgb="FF00B050"/>
      </top>
      <bottom/>
      <diagonal/>
    </border>
    <border>
      <left style="medium">
        <color rgb="FF00B050"/>
      </left>
      <right/>
      <top/>
      <bottom/>
      <diagonal/>
    </border>
    <border>
      <left/>
      <right style="medium">
        <color rgb="FF00B050"/>
      </right>
      <top/>
      <bottom/>
      <diagonal/>
    </border>
    <border>
      <left style="medium">
        <color rgb="FF00B050"/>
      </left>
      <right/>
      <top/>
      <bottom style="medium">
        <color rgb="FF00B050"/>
      </bottom>
      <diagonal/>
    </border>
    <border>
      <left/>
      <right style="medium">
        <color rgb="FF00B050"/>
      </right>
      <top/>
      <bottom style="medium">
        <color rgb="FF00B050"/>
      </bottom>
      <diagonal/>
    </border>
    <border>
      <left/>
      <right style="thick">
        <color rgb="FFFF0000"/>
      </right>
      <top/>
      <bottom/>
      <diagonal/>
    </border>
    <border>
      <left style="thick">
        <color rgb="FFFF0000"/>
      </left>
      <right/>
      <top style="thick">
        <color rgb="FFFF0000"/>
      </top>
      <bottom/>
      <diagonal/>
    </border>
    <border>
      <left/>
      <right style="thick">
        <color rgb="FF0000FF"/>
      </right>
      <top style="thick">
        <color rgb="FF0000FF"/>
      </top>
      <bottom/>
      <diagonal/>
    </border>
    <border>
      <left/>
      <right style="thick">
        <color rgb="FFFF0000"/>
      </right>
      <top style="thick">
        <color auto="1"/>
      </top>
      <bottom style="thick">
        <color auto="1"/>
      </bottom>
      <diagonal/>
    </border>
    <border>
      <left/>
      <right/>
      <top style="thick">
        <color rgb="FF0000FF"/>
      </top>
      <bottom/>
      <diagonal/>
    </border>
    <border>
      <left style="thin">
        <color auto="1"/>
      </left>
      <right style="thick">
        <color rgb="FF0000FF"/>
      </right>
      <top style="thick">
        <color auto="1"/>
      </top>
      <bottom style="thick">
        <color auto="1"/>
      </bottom>
      <diagonal/>
    </border>
    <border>
      <left/>
      <right style="thick">
        <color rgb="FF0000FF"/>
      </right>
      <top style="thick">
        <color auto="1"/>
      </top>
      <bottom style="thick">
        <color rgb="FF0000FF"/>
      </bottom>
      <diagonal/>
    </border>
    <border>
      <left/>
      <right/>
      <top style="thick">
        <color auto="1"/>
      </top>
      <bottom style="thick">
        <color rgb="FF0000FF"/>
      </bottom>
      <diagonal/>
    </border>
    <border>
      <left style="thick">
        <color rgb="FFFF0000"/>
      </left>
      <right/>
      <top/>
      <bottom style="thick">
        <color rgb="FFFF0000"/>
      </bottom>
      <diagonal/>
    </border>
    <border>
      <left style="thick">
        <color theme="4" tint="-0.24994659260841701"/>
      </left>
      <right/>
      <top style="thick">
        <color theme="4" tint="-0.24994659260841701"/>
      </top>
      <bottom style="thick">
        <color theme="4" tint="-0.24994659260841701"/>
      </bottom>
      <diagonal/>
    </border>
    <border>
      <left/>
      <right/>
      <top style="thick">
        <color theme="4" tint="-0.24994659260841701"/>
      </top>
      <bottom style="thick">
        <color theme="4" tint="-0.24994659260841701"/>
      </bottom>
      <diagonal/>
    </border>
    <border>
      <left/>
      <right style="thick">
        <color theme="4" tint="-0.24994659260841701"/>
      </right>
      <top style="thick">
        <color theme="4" tint="-0.24994659260841701"/>
      </top>
      <bottom style="thick">
        <color theme="4" tint="-0.24994659260841701"/>
      </bottom>
      <diagonal/>
    </border>
    <border>
      <left style="thin">
        <color auto="1"/>
      </left>
      <right/>
      <top/>
      <bottom/>
      <diagonal/>
    </border>
    <border>
      <left style="thin">
        <color auto="1"/>
      </left>
      <right/>
      <top/>
      <bottom style="medium">
        <color auto="1"/>
      </bottom>
      <diagonal/>
    </border>
    <border>
      <left/>
      <right/>
      <top style="thin">
        <color auto="1"/>
      </top>
      <bottom style="double">
        <color auto="1"/>
      </bottom>
      <diagonal/>
    </border>
    <border>
      <left style="thick">
        <color rgb="FF0000FF"/>
      </left>
      <right/>
      <top style="thick">
        <color rgb="FF0000FF"/>
      </top>
      <bottom style="thick">
        <color rgb="FF0000FF"/>
      </bottom>
      <diagonal/>
    </border>
    <border>
      <left/>
      <right/>
      <top style="thick">
        <color rgb="FF0000FF"/>
      </top>
      <bottom style="thick">
        <color rgb="FF0000FF"/>
      </bottom>
      <diagonal/>
    </border>
    <border>
      <left/>
      <right style="thick">
        <color rgb="FF0000FF"/>
      </right>
      <top style="thick">
        <color rgb="FF0000FF"/>
      </top>
      <bottom style="thick">
        <color rgb="FF0000FF"/>
      </bottom>
      <diagonal/>
    </border>
    <border>
      <left style="thick">
        <color auto="1"/>
      </left>
      <right style="thick">
        <color auto="1"/>
      </right>
      <top style="thick">
        <color auto="1"/>
      </top>
      <bottom/>
      <diagonal/>
    </border>
    <border>
      <left/>
      <right/>
      <top style="thick">
        <color auto="1"/>
      </top>
      <bottom style="medium">
        <color auto="1"/>
      </bottom>
      <diagonal/>
    </border>
    <border>
      <left/>
      <right style="thick">
        <color auto="1"/>
      </right>
      <top style="thick">
        <color auto="1"/>
      </top>
      <bottom style="medium">
        <color auto="1"/>
      </bottom>
      <diagonal/>
    </border>
    <border>
      <left style="thick">
        <color auto="1"/>
      </left>
      <right style="thick">
        <color auto="1"/>
      </right>
      <top/>
      <bottom style="thick">
        <color auto="1"/>
      </bottom>
      <diagonal/>
    </border>
    <border>
      <left/>
      <right/>
      <top style="medium">
        <color auto="1"/>
      </top>
      <bottom style="thick">
        <color auto="1"/>
      </bottom>
      <diagonal/>
    </border>
    <border>
      <left style="thick">
        <color auto="1"/>
      </left>
      <right/>
      <top style="medium">
        <color auto="1"/>
      </top>
      <bottom style="thick">
        <color auto="1"/>
      </bottom>
      <diagonal/>
    </border>
    <border>
      <left/>
      <right style="thick">
        <color auto="1"/>
      </right>
      <top style="medium">
        <color auto="1"/>
      </top>
      <bottom style="thick">
        <color auto="1"/>
      </bottom>
      <diagonal/>
    </border>
    <border>
      <left style="thin">
        <color auto="1"/>
      </left>
      <right style="thin">
        <color auto="1"/>
      </right>
      <top style="thick">
        <color auto="1"/>
      </top>
      <bottom/>
      <diagonal/>
    </border>
    <border>
      <left/>
      <right/>
      <top style="thin">
        <color auto="1"/>
      </top>
      <bottom style="thick">
        <color auto="1"/>
      </bottom>
      <diagonal/>
    </border>
    <border>
      <left style="thin">
        <color auto="1"/>
      </left>
      <right style="thin">
        <color auto="1"/>
      </right>
      <top style="thin">
        <color auto="1"/>
      </top>
      <bottom style="thick">
        <color auto="1"/>
      </bottom>
      <diagonal/>
    </border>
    <border>
      <left style="thick">
        <color auto="1"/>
      </left>
      <right/>
      <top style="thin">
        <color auto="1"/>
      </top>
      <bottom style="thick">
        <color auto="1"/>
      </bottom>
      <diagonal/>
    </border>
    <border>
      <left/>
      <right style="thick">
        <color auto="1"/>
      </right>
      <top style="thin">
        <color auto="1"/>
      </top>
      <bottom style="thick">
        <color auto="1"/>
      </bottom>
      <diagonal/>
    </border>
    <border>
      <left style="thick">
        <color auto="1"/>
      </left>
      <right/>
      <top/>
      <bottom style="thick">
        <color auto="1"/>
      </bottom>
      <diagonal/>
    </border>
    <border>
      <left/>
      <right style="thick">
        <color auto="1"/>
      </right>
      <top/>
      <bottom style="thick">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thin">
        <color auto="1"/>
      </top>
      <bottom style="medium">
        <color auto="1"/>
      </bottom>
      <diagonal/>
    </border>
    <border>
      <left style="medium">
        <color auto="1"/>
      </left>
      <right style="thick">
        <color auto="1"/>
      </right>
      <top style="thin">
        <color auto="1"/>
      </top>
      <bottom style="thin">
        <color auto="1"/>
      </bottom>
      <diagonal/>
    </border>
    <border>
      <left style="thin">
        <color auto="1"/>
      </left>
      <right style="medium">
        <color auto="1"/>
      </right>
      <top style="thin">
        <color auto="1"/>
      </top>
      <bottom style="thick">
        <color auto="1"/>
      </bottom>
      <diagonal/>
    </border>
    <border>
      <left style="medium">
        <color auto="1"/>
      </left>
      <right style="thick">
        <color auto="1"/>
      </right>
      <top style="thin">
        <color auto="1"/>
      </top>
      <bottom style="thick">
        <color auto="1"/>
      </bottom>
      <diagonal/>
    </border>
    <border>
      <left style="medium">
        <color auto="1"/>
      </left>
      <right style="thick">
        <color auto="1"/>
      </right>
      <top/>
      <bottom style="thin">
        <color auto="1"/>
      </bottom>
      <diagonal/>
    </border>
    <border>
      <left style="thin">
        <color auto="1"/>
      </left>
      <right style="medium">
        <color auto="1"/>
      </right>
      <top style="thick">
        <color auto="1"/>
      </top>
      <bottom style="thick">
        <color auto="1"/>
      </bottom>
      <diagonal/>
    </border>
    <border>
      <left style="thick">
        <color auto="1"/>
      </left>
      <right style="thin">
        <color auto="1"/>
      </right>
      <top style="thick">
        <color auto="1"/>
      </top>
      <bottom style="medium">
        <color auto="1"/>
      </bottom>
      <diagonal/>
    </border>
    <border>
      <left style="thin">
        <color auto="1"/>
      </left>
      <right style="medium">
        <color auto="1"/>
      </right>
      <top style="thick">
        <color auto="1"/>
      </top>
      <bottom style="medium">
        <color auto="1"/>
      </bottom>
      <diagonal/>
    </border>
    <border>
      <left style="thin">
        <color auto="1"/>
      </left>
      <right style="thick">
        <color auto="1"/>
      </right>
      <top style="thick">
        <color auto="1"/>
      </top>
      <bottom style="medium">
        <color auto="1"/>
      </bottom>
      <diagonal/>
    </border>
    <border>
      <left style="medium">
        <color auto="1"/>
      </left>
      <right style="medium">
        <color auto="1"/>
      </right>
      <top/>
      <bottom style="medium">
        <color auto="1"/>
      </bottom>
      <diagonal/>
    </border>
    <border>
      <left style="thick">
        <color auto="1"/>
      </left>
      <right style="mediumDashed">
        <color auto="1"/>
      </right>
      <top style="thick">
        <color auto="1"/>
      </top>
      <bottom style="thick">
        <color auto="1"/>
      </bottom>
      <diagonal/>
    </border>
    <border>
      <left style="thin">
        <color theme="5"/>
      </left>
      <right style="thin">
        <color theme="5"/>
      </right>
      <top style="thin">
        <color theme="5"/>
      </top>
      <bottom style="thin">
        <color theme="5"/>
      </bottom>
      <diagonal/>
    </border>
    <border>
      <left style="medium">
        <color theme="8" tint="0.39994506668294322"/>
      </left>
      <right style="medium">
        <color theme="8" tint="0.39994506668294322"/>
      </right>
      <top style="medium">
        <color theme="8" tint="0.39994506668294322"/>
      </top>
      <bottom style="medium">
        <color theme="8" tint="0.39994506668294322"/>
      </bottom>
      <diagonal/>
    </border>
    <border>
      <left style="medium">
        <color auto="1"/>
      </left>
      <right style="thick">
        <color auto="1"/>
      </right>
      <top/>
      <bottom style="thin">
        <color theme="2" tint="-0.499984740745262"/>
      </bottom>
      <diagonal/>
    </border>
    <border>
      <left style="thick">
        <color auto="1"/>
      </left>
      <right style="thick">
        <color auto="1"/>
      </right>
      <top style="medium">
        <color auto="1"/>
      </top>
      <bottom style="thin">
        <color theme="2" tint="-0.499984740745262"/>
      </bottom>
      <diagonal/>
    </border>
    <border>
      <left style="thick">
        <color auto="1"/>
      </left>
      <right style="thin">
        <color theme="2" tint="-0.499984740745262"/>
      </right>
      <top style="medium">
        <color auto="1"/>
      </top>
      <bottom style="thin">
        <color theme="2" tint="-0.499984740745262"/>
      </bottom>
      <diagonal/>
    </border>
    <border>
      <left style="thin">
        <color theme="2" tint="-0.499984740745262"/>
      </left>
      <right style="thin">
        <color theme="2" tint="-0.499984740745262"/>
      </right>
      <top style="medium">
        <color auto="1"/>
      </top>
      <bottom style="thin">
        <color theme="2" tint="-0.499984740745262"/>
      </bottom>
      <diagonal/>
    </border>
    <border>
      <left style="thin">
        <color theme="2" tint="-0.499984740745262"/>
      </left>
      <right style="thick">
        <color auto="1"/>
      </right>
      <top style="medium">
        <color auto="1"/>
      </top>
      <bottom style="thin">
        <color theme="2" tint="-0.499984740745262"/>
      </bottom>
      <diagonal/>
    </border>
  </borders>
  <cellStyleXfs count="3">
    <xf numFmtId="0" fontId="0" fillId="0" borderId="0"/>
    <xf numFmtId="0" fontId="47" fillId="0" borderId="0" applyNumberFormat="0" applyFill="0" applyBorder="0" applyAlignment="0" applyProtection="0"/>
    <xf numFmtId="9" fontId="215" fillId="0" borderId="0" applyFont="0" applyFill="0" applyBorder="0" applyAlignment="0" applyProtection="0"/>
  </cellStyleXfs>
  <cellXfs count="836">
    <xf numFmtId="0" fontId="0" fillId="0" borderId="0" xfId="0"/>
    <xf numFmtId="0" fontId="1" fillId="0" borderId="0" xfId="0" applyFont="1"/>
    <xf numFmtId="0" fontId="1" fillId="0" borderId="0" xfId="0" applyFont="1" applyAlignment="1">
      <alignment vertical="center"/>
    </xf>
    <xf numFmtId="0" fontId="1" fillId="0" borderId="0" xfId="0" applyFont="1" applyAlignment="1">
      <alignment horizontal="center" vertical="center"/>
    </xf>
    <xf numFmtId="0" fontId="3" fillId="2" borderId="1" xfId="0" applyFont="1" applyFill="1" applyBorder="1" applyAlignment="1">
      <alignment horizontal="center" vertical="center"/>
    </xf>
    <xf numFmtId="0" fontId="3" fillId="3" borderId="1" xfId="0" applyFont="1" applyFill="1" applyBorder="1" applyAlignment="1">
      <alignment horizontal="center" vertical="center"/>
    </xf>
    <xf numFmtId="0" fontId="4" fillId="0" borderId="0" xfId="0" applyFont="1" applyAlignment="1">
      <alignment horizontal="left"/>
    </xf>
    <xf numFmtId="0" fontId="1" fillId="0" borderId="0" xfId="0" applyFont="1" applyAlignment="1"/>
    <xf numFmtId="0" fontId="1" fillId="4" borderId="1" xfId="0" applyFont="1" applyFill="1" applyBorder="1" applyAlignment="1">
      <alignment horizontal="center" vertical="center"/>
    </xf>
    <xf numFmtId="0" fontId="1" fillId="0" borderId="1" xfId="0" applyFont="1" applyBorder="1" applyAlignment="1">
      <alignment horizontal="center" vertical="center" wrapText="1"/>
    </xf>
    <xf numFmtId="0" fontId="7" fillId="0" borderId="0" xfId="0" applyFont="1" applyAlignment="1">
      <alignment horizontal="center" vertical="center"/>
    </xf>
    <xf numFmtId="0" fontId="1" fillId="0" borderId="0" xfId="0" applyFont="1" applyBorder="1"/>
    <xf numFmtId="0" fontId="1" fillId="0" borderId="0" xfId="0" applyFont="1" applyBorder="1" applyAlignment="1">
      <alignment horizontal="center" vertical="center"/>
    </xf>
    <xf numFmtId="0" fontId="1" fillId="0" borderId="12" xfId="0" applyFont="1" applyBorder="1"/>
    <xf numFmtId="0" fontId="1" fillId="0" borderId="10" xfId="0" applyFont="1" applyBorder="1"/>
    <xf numFmtId="0" fontId="1" fillId="0" borderId="0" xfId="0" applyFont="1" applyBorder="1" applyAlignment="1">
      <alignment horizontal="center"/>
    </xf>
    <xf numFmtId="0" fontId="1" fillId="0" borderId="13" xfId="0" applyFont="1" applyBorder="1"/>
    <xf numFmtId="0" fontId="1" fillId="4" borderId="4" xfId="0" applyFont="1" applyFill="1" applyBorder="1" applyAlignment="1">
      <alignment horizontal="center" vertical="center"/>
    </xf>
    <xf numFmtId="0" fontId="1" fillId="4" borderId="19" xfId="0" applyFont="1" applyFill="1" applyBorder="1" applyAlignment="1">
      <alignment horizontal="center" vertical="center"/>
    </xf>
    <xf numFmtId="0" fontId="2" fillId="0" borderId="20" xfId="0" applyFont="1" applyBorder="1" applyAlignment="1">
      <alignment horizontal="center"/>
    </xf>
    <xf numFmtId="0" fontId="1" fillId="0" borderId="21" xfId="0" applyFont="1" applyBorder="1" applyAlignment="1">
      <alignment horizontal="left" vertical="center" indent="1"/>
    </xf>
    <xf numFmtId="0" fontId="2" fillId="0" borderId="21" xfId="0" applyFont="1" applyBorder="1" applyAlignment="1">
      <alignment horizontal="center" vertical="center"/>
    </xf>
    <xf numFmtId="0" fontId="1" fillId="0" borderId="22" xfId="0" applyFont="1" applyBorder="1" applyAlignment="1">
      <alignment horizontal="left" vertical="center" indent="1"/>
    </xf>
    <xf numFmtId="0" fontId="1" fillId="4" borderId="14" xfId="0" applyFont="1" applyFill="1" applyBorder="1" applyAlignment="1">
      <alignment horizontal="center" vertical="center"/>
    </xf>
    <xf numFmtId="0" fontId="1" fillId="0" borderId="18" xfId="0" applyFont="1" applyBorder="1"/>
    <xf numFmtId="0" fontId="1" fillId="0" borderId="26" xfId="0" applyFont="1" applyBorder="1"/>
    <xf numFmtId="0" fontId="1" fillId="4" borderId="23" xfId="0" applyFont="1" applyFill="1" applyBorder="1" applyAlignment="1">
      <alignment horizontal="center" vertical="center"/>
    </xf>
    <xf numFmtId="0" fontId="1" fillId="0" borderId="28" xfId="0" applyFont="1" applyBorder="1" applyAlignment="1">
      <alignment horizontal="left" vertical="center" indent="1"/>
    </xf>
    <xf numFmtId="0" fontId="1" fillId="0" borderId="28" xfId="0" applyFont="1" applyBorder="1" applyAlignment="1">
      <alignment horizontal="left" indent="1"/>
    </xf>
    <xf numFmtId="0" fontId="1" fillId="0" borderId="28" xfId="0" applyFont="1" applyBorder="1" applyAlignment="1">
      <alignment horizontal="center"/>
    </xf>
    <xf numFmtId="0" fontId="1" fillId="0" borderId="29" xfId="0" applyFont="1" applyBorder="1"/>
    <xf numFmtId="0" fontId="1" fillId="0" borderId="28" xfId="0" applyFont="1" applyBorder="1" applyAlignment="1">
      <alignment horizontal="center" vertical="center"/>
    </xf>
    <xf numFmtId="0" fontId="1" fillId="0" borderId="28" xfId="0" applyFont="1" applyBorder="1"/>
    <xf numFmtId="0" fontId="8" fillId="0" borderId="0" xfId="0" applyFont="1" applyAlignment="1">
      <alignment vertical="center"/>
    </xf>
    <xf numFmtId="0" fontId="3" fillId="3" borderId="3" xfId="0" applyFont="1" applyFill="1" applyBorder="1" applyAlignment="1">
      <alignment horizontal="center" vertical="center"/>
    </xf>
    <xf numFmtId="0" fontId="3" fillId="3" borderId="14" xfId="0" applyFont="1" applyFill="1" applyBorder="1" applyAlignment="1">
      <alignment horizontal="center" vertical="center"/>
    </xf>
    <xf numFmtId="0" fontId="3" fillId="3" borderId="4" xfId="0" applyFont="1" applyFill="1" applyBorder="1" applyAlignment="1">
      <alignment horizontal="center" vertical="center"/>
    </xf>
    <xf numFmtId="0" fontId="1" fillId="0" borderId="19" xfId="0" applyFont="1" applyBorder="1" applyAlignment="1">
      <alignment horizontal="center" vertical="center" wrapText="1"/>
    </xf>
    <xf numFmtId="0" fontId="3" fillId="3" borderId="19" xfId="0" applyFont="1" applyFill="1" applyBorder="1" applyAlignment="1">
      <alignment horizontal="center" vertical="center"/>
    </xf>
    <xf numFmtId="0" fontId="1" fillId="0" borderId="21" xfId="0" applyFont="1" applyBorder="1"/>
    <xf numFmtId="0" fontId="1" fillId="0" borderId="22" xfId="0" applyFont="1" applyBorder="1"/>
    <xf numFmtId="0" fontId="1" fillId="0" borderId="17" xfId="0" applyFont="1" applyBorder="1"/>
    <xf numFmtId="0" fontId="1" fillId="0" borderId="25" xfId="0" applyFont="1" applyBorder="1"/>
    <xf numFmtId="0" fontId="1" fillId="0" borderId="23" xfId="0" applyFont="1" applyBorder="1" applyAlignment="1">
      <alignment horizontal="center" vertical="center" wrapText="1"/>
    </xf>
    <xf numFmtId="0" fontId="3" fillId="3" borderId="23" xfId="0" applyFont="1" applyFill="1" applyBorder="1" applyAlignment="1">
      <alignment horizontal="center" vertical="center"/>
    </xf>
    <xf numFmtId="0" fontId="1" fillId="0" borderId="29" xfId="0" applyFont="1" applyBorder="1" applyAlignment="1">
      <alignment horizontal="center" vertical="center"/>
    </xf>
    <xf numFmtId="0" fontId="5" fillId="0" borderId="0" xfId="0" applyFont="1"/>
    <xf numFmtId="0" fontId="2" fillId="0" borderId="0" xfId="0" applyFont="1" applyBorder="1" applyAlignment="1">
      <alignment horizontal="center"/>
    </xf>
    <xf numFmtId="0" fontId="2" fillId="0" borderId="0" xfId="0" applyFont="1" applyAlignment="1">
      <alignment horizontal="center"/>
    </xf>
    <xf numFmtId="0" fontId="6" fillId="0" borderId="0" xfId="0" applyFont="1"/>
    <xf numFmtId="0" fontId="22" fillId="0" borderId="0" xfId="0" applyFont="1" applyAlignment="1">
      <alignment horizontal="left"/>
    </xf>
    <xf numFmtId="0" fontId="1" fillId="0" borderId="21" xfId="0" applyFont="1" applyBorder="1" applyAlignment="1">
      <alignment horizontal="center" vertical="center"/>
    </xf>
    <xf numFmtId="0" fontId="1" fillId="6" borderId="0" xfId="0" applyFont="1" applyFill="1"/>
    <xf numFmtId="0" fontId="21" fillId="0" borderId="0" xfId="0" applyFont="1"/>
    <xf numFmtId="49" fontId="1" fillId="0" borderId="35" xfId="0" applyNumberFormat="1" applyFont="1" applyBorder="1" applyAlignment="1">
      <alignment horizontal="center"/>
    </xf>
    <xf numFmtId="49" fontId="1" fillId="0" borderId="38" xfId="0" applyNumberFormat="1" applyFont="1" applyBorder="1" applyAlignment="1">
      <alignment horizontal="center"/>
    </xf>
    <xf numFmtId="0" fontId="16" fillId="5" borderId="2" xfId="0" applyFont="1" applyFill="1" applyBorder="1" applyAlignment="1">
      <alignment horizontal="center" vertical="center"/>
    </xf>
    <xf numFmtId="0" fontId="25" fillId="0" borderId="28" xfId="0" applyFont="1" applyBorder="1" applyAlignment="1">
      <alignment horizontal="left" vertical="center" indent="1"/>
    </xf>
    <xf numFmtId="0" fontId="25" fillId="0" borderId="27" xfId="0" applyFont="1" applyBorder="1" applyAlignment="1">
      <alignment horizontal="left" indent="1"/>
    </xf>
    <xf numFmtId="0" fontId="25" fillId="0" borderId="28" xfId="0" applyFont="1" applyBorder="1" applyAlignment="1">
      <alignment horizontal="center" vertical="center"/>
    </xf>
    <xf numFmtId="0" fontId="1" fillId="0" borderId="18" xfId="0" applyFont="1" applyBorder="1" applyAlignment="1">
      <alignment horizontal="left" indent="2"/>
    </xf>
    <xf numFmtId="0" fontId="0" fillId="0" borderId="0" xfId="0" applyFont="1" applyBorder="1" applyAlignment="1">
      <alignment horizontal="center" vertical="center"/>
    </xf>
    <xf numFmtId="0" fontId="0" fillId="0" borderId="0" xfId="0" applyBorder="1" applyAlignment="1">
      <alignment horizontal="left" indent="2"/>
    </xf>
    <xf numFmtId="0" fontId="3" fillId="0" borderId="41" xfId="0" applyFont="1" applyFill="1" applyBorder="1" applyAlignment="1">
      <alignment horizontal="center" vertical="center"/>
    </xf>
    <xf numFmtId="0" fontId="1" fillId="0" borderId="0" xfId="0" applyFont="1" applyFill="1"/>
    <xf numFmtId="0" fontId="12" fillId="0" borderId="41" xfId="0" applyFont="1" applyFill="1" applyBorder="1" applyAlignment="1">
      <alignment horizontal="center" vertical="center"/>
    </xf>
    <xf numFmtId="0" fontId="1" fillId="0" borderId="41" xfId="0" applyFont="1" applyFill="1" applyBorder="1" applyAlignment="1">
      <alignment horizontal="center" vertical="center" wrapText="1"/>
    </xf>
    <xf numFmtId="0" fontId="1" fillId="0" borderId="0" xfId="0" applyFont="1" applyFill="1" applyBorder="1" applyAlignment="1">
      <alignment horizontal="left" indent="1"/>
    </xf>
    <xf numFmtId="0" fontId="1" fillId="0" borderId="0" xfId="0" applyFont="1" applyFill="1" applyBorder="1" applyAlignment="1">
      <alignment horizontal="left" vertical="center" indent="1"/>
    </xf>
    <xf numFmtId="0" fontId="25" fillId="0" borderId="0" xfId="0" applyFont="1" applyFill="1" applyBorder="1" applyAlignment="1">
      <alignment horizontal="left" vertical="center" indent="1"/>
    </xf>
    <xf numFmtId="0" fontId="25" fillId="0" borderId="0" xfId="0" applyFont="1" applyFill="1" applyBorder="1" applyAlignment="1">
      <alignment horizontal="left" indent="1"/>
    </xf>
    <xf numFmtId="0" fontId="25" fillId="0" borderId="0" xfId="0" applyFont="1" applyFill="1" applyBorder="1" applyAlignment="1">
      <alignment horizontal="center"/>
    </xf>
    <xf numFmtId="0" fontId="1" fillId="0" borderId="0" xfId="0" applyFont="1" applyFill="1" applyBorder="1" applyAlignment="1">
      <alignment horizontal="center" vertical="center"/>
    </xf>
    <xf numFmtId="0" fontId="1" fillId="0" borderId="0" xfId="0" applyFont="1" applyFill="1" applyBorder="1"/>
    <xf numFmtId="0" fontId="3" fillId="0" borderId="0" xfId="0" applyFont="1" applyFill="1" applyBorder="1" applyAlignment="1">
      <alignment horizontal="center" vertical="center"/>
    </xf>
    <xf numFmtId="0" fontId="1" fillId="0" borderId="42" xfId="0" applyFont="1" applyBorder="1" applyAlignment="1">
      <alignment horizontal="left" indent="1"/>
    </xf>
    <xf numFmtId="0" fontId="1" fillId="0" borderId="43" xfId="0" applyFont="1" applyBorder="1" applyAlignment="1">
      <alignment horizontal="left" vertical="center" indent="1"/>
    </xf>
    <xf numFmtId="0" fontId="25" fillId="0" borderId="43" xfId="0" applyFont="1" applyBorder="1" applyAlignment="1">
      <alignment horizontal="left" vertical="center" indent="1"/>
    </xf>
    <xf numFmtId="0" fontId="25" fillId="0" borderId="43" xfId="0" applyFont="1" applyBorder="1" applyAlignment="1">
      <alignment horizontal="left" indent="1"/>
    </xf>
    <xf numFmtId="0" fontId="25" fillId="0" borderId="43" xfId="0" applyFont="1" applyBorder="1" applyAlignment="1">
      <alignment horizontal="center"/>
    </xf>
    <xf numFmtId="0" fontId="1" fillId="0" borderId="43" xfId="0" applyFont="1" applyBorder="1" applyAlignment="1">
      <alignment horizontal="left" indent="1"/>
    </xf>
    <xf numFmtId="0" fontId="1" fillId="0" borderId="44" xfId="0" applyFont="1" applyBorder="1"/>
    <xf numFmtId="0" fontId="0" fillId="0" borderId="0" xfId="0" applyFill="1" applyBorder="1" applyAlignment="1">
      <alignment horizontal="center" vertical="center"/>
    </xf>
    <xf numFmtId="0" fontId="1" fillId="0" borderId="0" xfId="0" applyFont="1" applyFill="1" applyBorder="1" applyAlignment="1">
      <alignment horizontal="center" vertical="center" wrapText="1"/>
    </xf>
    <xf numFmtId="0" fontId="9" fillId="0" borderId="0" xfId="0" applyFont="1" applyFill="1" applyBorder="1" applyAlignment="1">
      <alignment horizontal="center"/>
    </xf>
    <xf numFmtId="0" fontId="2" fillId="0" borderId="0" xfId="0" applyFont="1" applyFill="1" applyBorder="1" applyAlignment="1">
      <alignment horizontal="center" vertical="center"/>
    </xf>
    <xf numFmtId="0" fontId="1" fillId="0" borderId="14" xfId="0" applyFont="1" applyBorder="1" applyAlignment="1">
      <alignment horizontal="center" vertical="center" wrapText="1"/>
    </xf>
    <xf numFmtId="0" fontId="2" fillId="0" borderId="43" xfId="0" applyFont="1" applyBorder="1" applyAlignment="1">
      <alignment horizontal="center" vertical="center"/>
    </xf>
    <xf numFmtId="0" fontId="1" fillId="0" borderId="9" xfId="0" applyFont="1" applyBorder="1"/>
    <xf numFmtId="0" fontId="1" fillId="0" borderId="11" xfId="0" applyFont="1" applyBorder="1"/>
    <xf numFmtId="49" fontId="1" fillId="0" borderId="45" xfId="0" applyNumberFormat="1" applyFont="1" applyBorder="1" applyAlignment="1">
      <alignment horizontal="center"/>
    </xf>
    <xf numFmtId="0" fontId="4" fillId="2" borderId="40" xfId="0" applyFont="1" applyFill="1" applyBorder="1" applyAlignment="1">
      <alignment horizontal="center" vertical="center"/>
    </xf>
    <xf numFmtId="165" fontId="4" fillId="3" borderId="34" xfId="0" applyNumberFormat="1" applyFont="1" applyFill="1" applyBorder="1" applyAlignment="1">
      <alignment horizontal="center"/>
    </xf>
    <xf numFmtId="49" fontId="25" fillId="3" borderId="32" xfId="0" applyNumberFormat="1" applyFont="1" applyFill="1" applyBorder="1" applyAlignment="1">
      <alignment horizontal="center"/>
    </xf>
    <xf numFmtId="0" fontId="32" fillId="6" borderId="0" xfId="0" applyFont="1" applyFill="1"/>
    <xf numFmtId="165" fontId="4" fillId="7" borderId="39" xfId="0" applyNumberFormat="1" applyFont="1" applyFill="1" applyBorder="1" applyAlignment="1">
      <alignment horizontal="center"/>
    </xf>
    <xf numFmtId="165" fontId="4" fillId="7" borderId="34" xfId="0" applyNumberFormat="1" applyFont="1" applyFill="1" applyBorder="1" applyAlignment="1">
      <alignment horizontal="center"/>
    </xf>
    <xf numFmtId="165" fontId="4" fillId="7" borderId="47" xfId="0" applyNumberFormat="1" applyFont="1" applyFill="1" applyBorder="1" applyAlignment="1">
      <alignment horizontal="center"/>
    </xf>
    <xf numFmtId="0" fontId="0" fillId="0" borderId="0" xfId="0" applyAlignment="1">
      <alignment horizontal="center"/>
    </xf>
    <xf numFmtId="0" fontId="1" fillId="0" borderId="0" xfId="0" applyFont="1" applyProtection="1"/>
    <xf numFmtId="0" fontId="4" fillId="0" borderId="0" xfId="0" applyFont="1" applyProtection="1"/>
    <xf numFmtId="0" fontId="1" fillId="0" borderId="0" xfId="0" applyFont="1" applyAlignment="1" applyProtection="1">
      <alignment horizontal="center"/>
    </xf>
    <xf numFmtId="0" fontId="2" fillId="0" borderId="0" xfId="0" applyFont="1" applyAlignment="1" applyProtection="1">
      <alignment horizontal="center"/>
    </xf>
    <xf numFmtId="0" fontId="3" fillId="0" borderId="0" xfId="0" applyFont="1" applyAlignment="1" applyProtection="1">
      <alignment horizontal="center" vertical="center"/>
    </xf>
    <xf numFmtId="0" fontId="4" fillId="0" borderId="0" xfId="0" applyFont="1" applyAlignment="1" applyProtection="1">
      <alignment horizontal="center"/>
    </xf>
    <xf numFmtId="0" fontId="4" fillId="0" borderId="0" xfId="0" applyFont="1" applyAlignment="1" applyProtection="1">
      <alignment horizontal="right"/>
    </xf>
    <xf numFmtId="0" fontId="6" fillId="0" borderId="0" xfId="0" applyFont="1" applyAlignment="1" applyProtection="1">
      <alignment horizontal="right"/>
    </xf>
    <xf numFmtId="0" fontId="35" fillId="4" borderId="19" xfId="0" applyFont="1" applyFill="1" applyBorder="1" applyAlignment="1">
      <alignment horizontal="center" vertical="center"/>
    </xf>
    <xf numFmtId="0" fontId="35" fillId="0" borderId="0" xfId="0" applyFont="1" applyFill="1" applyBorder="1" applyAlignment="1">
      <alignment horizontal="center" vertical="center"/>
    </xf>
    <xf numFmtId="0" fontId="36" fillId="0" borderId="0" xfId="0" applyFont="1"/>
    <xf numFmtId="0" fontId="3" fillId="6" borderId="1" xfId="0" applyFont="1" applyFill="1" applyBorder="1" applyAlignment="1">
      <alignment horizontal="center" vertical="center"/>
    </xf>
    <xf numFmtId="0" fontId="38" fillId="0" borderId="12" xfId="0" applyFont="1" applyBorder="1" applyAlignment="1">
      <alignment horizontal="center"/>
    </xf>
    <xf numFmtId="0" fontId="40" fillId="0" borderId="0" xfId="0" applyFont="1" applyAlignment="1">
      <alignment horizontal="center" vertical="center"/>
    </xf>
    <xf numFmtId="0" fontId="2" fillId="8" borderId="20" xfId="0" applyFont="1" applyFill="1" applyBorder="1" applyAlignment="1">
      <alignment horizontal="center"/>
    </xf>
    <xf numFmtId="0" fontId="42" fillId="0" borderId="0" xfId="0" applyFont="1"/>
    <xf numFmtId="0" fontId="43" fillId="0" borderId="0" xfId="0" applyFont="1" applyAlignment="1">
      <alignment horizontal="left"/>
    </xf>
    <xf numFmtId="0" fontId="44" fillId="0" borderId="0" xfId="0" applyFont="1" applyProtection="1"/>
    <xf numFmtId="3" fontId="1" fillId="0" borderId="0" xfId="0" applyNumberFormat="1" applyFont="1" applyAlignment="1" applyProtection="1">
      <alignment horizontal="right"/>
    </xf>
    <xf numFmtId="0" fontId="45" fillId="0" borderId="0" xfId="0" applyFont="1" applyAlignment="1">
      <alignment horizontal="center"/>
    </xf>
    <xf numFmtId="0" fontId="1" fillId="0" borderId="0" xfId="0" quotePrefix="1" applyFont="1" applyAlignment="1" applyProtection="1">
      <alignment horizontal="center"/>
    </xf>
    <xf numFmtId="0" fontId="5" fillId="0" borderId="0" xfId="0" applyFont="1" applyAlignment="1">
      <alignment horizontal="center"/>
    </xf>
    <xf numFmtId="0" fontId="3" fillId="0" borderId="48" xfId="0" applyFont="1" applyFill="1" applyBorder="1" applyAlignment="1">
      <alignment horizontal="center" vertical="center"/>
    </xf>
    <xf numFmtId="0" fontId="3" fillId="9" borderId="1" xfId="0" applyFont="1" applyFill="1" applyBorder="1" applyAlignment="1">
      <alignment horizontal="center" vertical="center"/>
    </xf>
    <xf numFmtId="0" fontId="6" fillId="0" borderId="19" xfId="0" applyFont="1" applyBorder="1" applyAlignment="1">
      <alignment horizontal="center" vertical="center" wrapText="1"/>
    </xf>
    <xf numFmtId="0" fontId="3" fillId="10" borderId="19" xfId="0" applyFont="1" applyFill="1" applyBorder="1" applyAlignment="1">
      <alignment horizontal="center" vertical="center"/>
    </xf>
    <xf numFmtId="0" fontId="17" fillId="3" borderId="0" xfId="0" applyFont="1" applyFill="1" applyAlignment="1" applyProtection="1">
      <alignment horizontal="center"/>
      <protection locked="0"/>
    </xf>
    <xf numFmtId="0" fontId="3" fillId="0" borderId="0" xfId="0" applyFont="1" applyAlignment="1" applyProtection="1">
      <alignment horizontal="center"/>
    </xf>
    <xf numFmtId="0" fontId="1" fillId="0" borderId="0" xfId="0" quotePrefix="1" applyFont="1" applyProtection="1"/>
    <xf numFmtId="0" fontId="19" fillId="0" borderId="0" xfId="0" quotePrefix="1" applyFont="1" applyAlignment="1">
      <alignment horizontal="center"/>
    </xf>
    <xf numFmtId="0" fontId="64" fillId="0" borderId="0" xfId="0" applyFont="1" applyAlignment="1"/>
    <xf numFmtId="0" fontId="65" fillId="0" borderId="0" xfId="0" applyFont="1"/>
    <xf numFmtId="0" fontId="72" fillId="0" borderId="0" xfId="0" applyFont="1" applyAlignment="1"/>
    <xf numFmtId="0" fontId="1" fillId="0" borderId="0" xfId="0" applyFont="1" applyAlignment="1">
      <alignment horizontal="center"/>
    </xf>
    <xf numFmtId="0" fontId="73" fillId="0" borderId="0" xfId="0" applyFont="1" applyAlignment="1">
      <alignment vertical="center"/>
    </xf>
    <xf numFmtId="0" fontId="74" fillId="0" borderId="0" xfId="0" applyFont="1" applyAlignment="1">
      <alignment vertical="center"/>
    </xf>
    <xf numFmtId="0" fontId="5" fillId="0" borderId="0" xfId="0" applyFont="1" applyAlignment="1">
      <alignment horizontal="right"/>
    </xf>
    <xf numFmtId="0" fontId="86" fillId="0" borderId="0" xfId="0" applyFont="1" applyAlignment="1">
      <alignment horizontal="center"/>
    </xf>
    <xf numFmtId="0" fontId="0" fillId="0" borderId="0" xfId="0" applyProtection="1">
      <protection locked="0"/>
    </xf>
    <xf numFmtId="0" fontId="116" fillId="0" borderId="0" xfId="0" applyFont="1" applyFill="1" applyAlignment="1">
      <alignment horizontal="center" vertical="center"/>
    </xf>
    <xf numFmtId="0" fontId="0" fillId="3" borderId="0" xfId="0" applyFill="1" applyAlignment="1">
      <alignment horizontal="center"/>
    </xf>
    <xf numFmtId="0" fontId="37" fillId="3" borderId="0" xfId="0" applyFont="1" applyFill="1" applyAlignment="1" applyProtection="1">
      <alignment horizontal="left" vertical="center" indent="3"/>
      <protection locked="0"/>
    </xf>
    <xf numFmtId="0" fontId="0" fillId="0" borderId="33" xfId="0" applyBorder="1" applyAlignment="1">
      <alignment horizontal="center"/>
    </xf>
    <xf numFmtId="0" fontId="0" fillId="0" borderId="33" xfId="0" applyBorder="1" applyAlignment="1">
      <alignment horizontal="center" vertical="center"/>
    </xf>
    <xf numFmtId="0" fontId="0" fillId="15" borderId="33" xfId="0" applyFill="1" applyBorder="1" applyAlignment="1">
      <alignment horizontal="center" vertical="center"/>
    </xf>
    <xf numFmtId="0" fontId="0" fillId="16" borderId="82" xfId="0" applyFill="1" applyBorder="1" applyAlignment="1">
      <alignment horizontal="centerContinuous"/>
    </xf>
    <xf numFmtId="0" fontId="0" fillId="16" borderId="83" xfId="0" applyFill="1" applyBorder="1" applyAlignment="1">
      <alignment horizontal="centerContinuous"/>
    </xf>
    <xf numFmtId="0" fontId="151" fillId="0" borderId="0" xfId="0" applyFont="1"/>
    <xf numFmtId="0" fontId="0" fillId="0" borderId="46" xfId="0" applyBorder="1" applyAlignment="1">
      <alignment horizontal="center" vertical="center"/>
    </xf>
    <xf numFmtId="0" fontId="0" fillId="14" borderId="1" xfId="0" applyFill="1" applyBorder="1" applyAlignment="1">
      <alignment horizontal="right"/>
    </xf>
    <xf numFmtId="0" fontId="0" fillId="8" borderId="1" xfId="0" applyFill="1" applyBorder="1" applyAlignment="1">
      <alignment horizontal="right"/>
    </xf>
    <xf numFmtId="0" fontId="0" fillId="15" borderId="33" xfId="0" applyFill="1" applyBorder="1" applyAlignment="1">
      <alignment horizontal="center"/>
    </xf>
    <xf numFmtId="0" fontId="0" fillId="0" borderId="0" xfId="0" applyAlignment="1">
      <alignment horizontal="right"/>
    </xf>
    <xf numFmtId="0" fontId="153" fillId="0" borderId="0" xfId="0" applyFont="1"/>
    <xf numFmtId="0" fontId="154" fillId="0" borderId="0" xfId="0" applyFont="1"/>
    <xf numFmtId="0" fontId="168" fillId="0" borderId="0" xfId="0" applyFont="1"/>
    <xf numFmtId="0" fontId="103" fillId="3" borderId="0" xfId="0" applyFont="1" applyFill="1" applyBorder="1" applyAlignment="1" applyProtection="1">
      <alignment horizontal="center"/>
      <protection locked="0"/>
    </xf>
    <xf numFmtId="0" fontId="103" fillId="3" borderId="0" xfId="0" applyFont="1" applyFill="1" applyBorder="1" applyAlignment="1" applyProtection="1">
      <alignment horizontal="center" vertical="center"/>
      <protection locked="0"/>
    </xf>
    <xf numFmtId="0" fontId="140" fillId="0" borderId="0" xfId="0" applyFont="1" applyAlignment="1" applyProtection="1">
      <alignment horizontal="left"/>
    </xf>
    <xf numFmtId="0" fontId="101" fillId="0" borderId="0" xfId="0" applyFont="1" applyAlignment="1" applyProtection="1">
      <alignment horizontal="center"/>
    </xf>
    <xf numFmtId="0" fontId="0" fillId="12" borderId="0" xfId="0" applyFill="1" applyProtection="1"/>
    <xf numFmtId="0" fontId="0" fillId="0" borderId="0" xfId="0" applyProtection="1"/>
    <xf numFmtId="0" fontId="0" fillId="22" borderId="85" xfId="0" applyFill="1" applyBorder="1" applyProtection="1"/>
    <xf numFmtId="0" fontId="116" fillId="22" borderId="86" xfId="0" applyFont="1" applyFill="1" applyBorder="1" applyAlignment="1" applyProtection="1">
      <alignment horizontal="center" vertical="center"/>
    </xf>
    <xf numFmtId="0" fontId="0" fillId="22" borderId="86" xfId="0" applyFill="1" applyBorder="1" applyProtection="1"/>
    <xf numFmtId="0" fontId="0" fillId="22" borderId="87" xfId="0" applyFill="1" applyBorder="1" applyProtection="1"/>
    <xf numFmtId="0" fontId="0" fillId="22" borderId="88" xfId="0" applyFill="1" applyBorder="1" applyProtection="1"/>
    <xf numFmtId="0" fontId="0" fillId="22" borderId="0" xfId="0" applyFill="1" applyBorder="1" applyProtection="1"/>
    <xf numFmtId="0" fontId="0" fillId="22" borderId="89" xfId="0" applyFill="1" applyBorder="1" applyProtection="1"/>
    <xf numFmtId="0" fontId="1" fillId="22" borderId="0" xfId="0" applyFont="1" applyFill="1" applyBorder="1" applyAlignment="1" applyProtection="1">
      <alignment horizontal="center"/>
    </xf>
    <xf numFmtId="0" fontId="1" fillId="22" borderId="0" xfId="0" applyFont="1" applyFill="1" applyBorder="1" applyProtection="1"/>
    <xf numFmtId="0" fontId="4" fillId="2" borderId="3" xfId="0" applyFont="1" applyFill="1" applyBorder="1" applyAlignment="1" applyProtection="1">
      <alignment horizontal="center" vertical="center"/>
    </xf>
    <xf numFmtId="0" fontId="16" fillId="0" borderId="29" xfId="0" applyFont="1" applyBorder="1" applyAlignment="1" applyProtection="1">
      <alignment horizontal="center" vertical="center" wrapText="1"/>
    </xf>
    <xf numFmtId="0" fontId="2" fillId="0" borderId="18" xfId="0" applyFont="1" applyBorder="1" applyAlignment="1" applyProtection="1">
      <alignment horizontal="center" vertical="center"/>
    </xf>
    <xf numFmtId="0" fontId="2" fillId="0" borderId="29" xfId="0" applyFont="1" applyBorder="1" applyAlignment="1" applyProtection="1">
      <alignment horizontal="center" vertical="center"/>
    </xf>
    <xf numFmtId="49" fontId="1" fillId="0" borderId="74" xfId="0" applyNumberFormat="1" applyFont="1" applyBorder="1" applyAlignment="1" applyProtection="1">
      <alignment horizontal="center"/>
    </xf>
    <xf numFmtId="0" fontId="1" fillId="0" borderId="78" xfId="0" applyFont="1" applyBorder="1" applyAlignment="1" applyProtection="1">
      <alignment horizontal="center" vertical="center"/>
    </xf>
    <xf numFmtId="0" fontId="1" fillId="0" borderId="65" xfId="0" applyFont="1" applyBorder="1" applyAlignment="1" applyProtection="1">
      <alignment horizontal="center" vertical="center"/>
    </xf>
    <xf numFmtId="0" fontId="1" fillId="0" borderId="80" xfId="0" applyFont="1" applyBorder="1" applyAlignment="1" applyProtection="1">
      <alignment horizontal="center"/>
    </xf>
    <xf numFmtId="166" fontId="1" fillId="0" borderId="80" xfId="0" applyNumberFormat="1" applyFont="1" applyBorder="1" applyAlignment="1" applyProtection="1">
      <alignment horizontal="center"/>
    </xf>
    <xf numFmtId="170" fontId="0" fillId="0" borderId="78" xfId="0" applyNumberFormat="1" applyBorder="1" applyAlignment="1" applyProtection="1">
      <alignment horizontal="center"/>
    </xf>
    <xf numFmtId="0" fontId="1" fillId="0" borderId="78" xfId="0" applyFont="1" applyFill="1" applyBorder="1" applyAlignment="1" applyProtection="1">
      <alignment horizontal="center" vertical="center"/>
    </xf>
    <xf numFmtId="0" fontId="1" fillId="0" borderId="65" xfId="0" applyFont="1" applyFill="1" applyBorder="1" applyAlignment="1" applyProtection="1">
      <alignment horizontal="center" vertical="center"/>
    </xf>
    <xf numFmtId="0" fontId="1" fillId="0" borderId="73" xfId="0" applyFont="1" applyBorder="1" applyAlignment="1" applyProtection="1">
      <alignment horizontal="center"/>
    </xf>
    <xf numFmtId="170" fontId="0" fillId="0" borderId="73" xfId="0" applyNumberFormat="1" applyBorder="1" applyAlignment="1" applyProtection="1">
      <alignment horizontal="center"/>
    </xf>
    <xf numFmtId="49" fontId="106" fillId="0" borderId="75" xfId="0" applyNumberFormat="1" applyFont="1" applyFill="1" applyBorder="1" applyAlignment="1" applyProtection="1">
      <alignment horizontal="center"/>
    </xf>
    <xf numFmtId="0" fontId="106" fillId="0" borderId="73" xfId="0" applyFont="1" applyFill="1" applyBorder="1" applyAlignment="1" applyProtection="1">
      <alignment horizontal="center" vertical="center"/>
    </xf>
    <xf numFmtId="0" fontId="106" fillId="0" borderId="67" xfId="0" applyFont="1" applyFill="1" applyBorder="1" applyAlignment="1" applyProtection="1">
      <alignment horizontal="center" vertical="center"/>
    </xf>
    <xf numFmtId="0" fontId="106" fillId="0" borderId="73" xfId="0" applyFont="1" applyFill="1" applyBorder="1" applyAlignment="1" applyProtection="1">
      <alignment horizontal="center"/>
    </xf>
    <xf numFmtId="49" fontId="1" fillId="0" borderId="76" xfId="0" applyNumberFormat="1" applyFont="1" applyBorder="1" applyAlignment="1" applyProtection="1">
      <alignment horizontal="center"/>
    </xf>
    <xf numFmtId="0" fontId="1" fillId="0" borderId="79" xfId="0" applyFont="1" applyBorder="1" applyAlignment="1" applyProtection="1">
      <alignment horizontal="center" vertical="center"/>
    </xf>
    <xf numFmtId="0" fontId="1" fillId="0" borderId="69" xfId="0" applyFont="1" applyBorder="1" applyAlignment="1" applyProtection="1">
      <alignment horizontal="center" vertical="center"/>
    </xf>
    <xf numFmtId="0" fontId="0" fillId="0" borderId="0" xfId="0" applyAlignment="1" applyProtection="1">
      <alignment horizontal="center" vertical="center"/>
    </xf>
    <xf numFmtId="49" fontId="1" fillId="0" borderId="77" xfId="0" applyNumberFormat="1" applyFont="1" applyBorder="1" applyAlignment="1" applyProtection="1">
      <alignment horizontal="center"/>
    </xf>
    <xf numFmtId="0" fontId="1" fillId="0" borderId="54" xfId="0" applyFont="1" applyBorder="1" applyAlignment="1" applyProtection="1">
      <alignment horizontal="center" vertical="center"/>
    </xf>
    <xf numFmtId="0" fontId="1" fillId="0" borderId="58" xfId="0" applyFont="1" applyBorder="1" applyAlignment="1" applyProtection="1">
      <alignment horizontal="center" vertical="center"/>
    </xf>
    <xf numFmtId="0" fontId="1" fillId="0" borderId="54" xfId="0" applyFont="1" applyBorder="1" applyAlignment="1" applyProtection="1">
      <alignment horizontal="center"/>
    </xf>
    <xf numFmtId="170" fontId="0" fillId="0" borderId="54" xfId="0" applyNumberFormat="1" applyBorder="1" applyAlignment="1" applyProtection="1">
      <alignment horizontal="center"/>
    </xf>
    <xf numFmtId="0" fontId="122" fillId="22" borderId="0" xfId="0" applyFont="1" applyFill="1" applyBorder="1" applyAlignment="1" applyProtection="1">
      <alignment horizontal="center" vertical="center"/>
    </xf>
    <xf numFmtId="0" fontId="107" fillId="22" borderId="0" xfId="0" applyFont="1" applyFill="1" applyBorder="1" applyAlignment="1" applyProtection="1">
      <alignment horizontal="center"/>
    </xf>
    <xf numFmtId="0" fontId="87" fillId="22" borderId="0" xfId="0" applyFont="1" applyFill="1" applyBorder="1" applyAlignment="1" applyProtection="1">
      <alignment horizontal="right"/>
    </xf>
    <xf numFmtId="0" fontId="0" fillId="12" borderId="0" xfId="0" applyFill="1" applyAlignment="1" applyProtection="1"/>
    <xf numFmtId="0" fontId="0" fillId="22" borderId="88" xfId="0" applyFill="1" applyBorder="1" applyAlignment="1" applyProtection="1"/>
    <xf numFmtId="0" fontId="37" fillId="22" borderId="0" xfId="0" applyFont="1" applyFill="1" applyBorder="1" applyAlignment="1" applyProtection="1">
      <alignment horizontal="right"/>
    </xf>
    <xf numFmtId="2" fontId="36" fillId="22" borderId="0" xfId="0" applyNumberFormat="1" applyFont="1" applyFill="1" applyBorder="1" applyAlignment="1" applyProtection="1">
      <alignment horizontal="left"/>
    </xf>
    <xf numFmtId="0" fontId="0" fillId="22" borderId="0" xfId="0" applyFill="1" applyBorder="1" applyAlignment="1" applyProtection="1">
      <alignment horizontal="center"/>
    </xf>
    <xf numFmtId="0" fontId="0" fillId="22" borderId="0" xfId="0" applyFill="1" applyBorder="1" applyAlignment="1" applyProtection="1"/>
    <xf numFmtId="0" fontId="0" fillId="22" borderId="89" xfId="0" applyFill="1" applyBorder="1" applyAlignment="1" applyProtection="1"/>
    <xf numFmtId="0" fontId="0" fillId="0" borderId="0" xfId="0" applyAlignment="1" applyProtection="1"/>
    <xf numFmtId="0" fontId="0" fillId="0" borderId="0" xfId="0" applyAlignment="1" applyProtection="1">
      <alignment horizontal="center"/>
    </xf>
    <xf numFmtId="0" fontId="33" fillId="22" borderId="0" xfId="0" applyFont="1" applyFill="1" applyBorder="1" applyAlignment="1" applyProtection="1">
      <alignment horizontal="right" vertical="center"/>
    </xf>
    <xf numFmtId="0" fontId="12" fillId="22" borderId="0" xfId="0" applyFont="1" applyFill="1" applyBorder="1" applyAlignment="1" applyProtection="1">
      <alignment horizontal="right" vertical="center"/>
    </xf>
    <xf numFmtId="0" fontId="12" fillId="22" borderId="0" xfId="0" applyFont="1" applyFill="1" applyBorder="1" applyAlignment="1" applyProtection="1">
      <alignment horizontal="center" vertical="center"/>
    </xf>
    <xf numFmtId="0" fontId="0" fillId="12" borderId="0" xfId="0" applyFill="1" applyAlignment="1" applyProtection="1">
      <alignment horizontal="center"/>
    </xf>
    <xf numFmtId="0" fontId="104" fillId="22" borderId="0" xfId="0" applyFont="1" applyFill="1" applyBorder="1" applyAlignment="1" applyProtection="1">
      <alignment horizontal="right" vertical="center"/>
    </xf>
    <xf numFmtId="0" fontId="103" fillId="22" borderId="0" xfId="0" applyFont="1" applyFill="1" applyBorder="1" applyProtection="1"/>
    <xf numFmtId="0" fontId="0" fillId="22" borderId="0" xfId="0" applyFill="1" applyBorder="1" applyAlignment="1" applyProtection="1">
      <alignment vertical="center"/>
    </xf>
    <xf numFmtId="0" fontId="163" fillId="12" borderId="0" xfId="0" applyFont="1" applyFill="1" applyBorder="1" applyAlignment="1" applyProtection="1">
      <alignment horizontal="center" vertical="center"/>
    </xf>
    <xf numFmtId="0" fontId="163" fillId="22" borderId="0" xfId="0" applyFont="1" applyFill="1" applyBorder="1" applyAlignment="1" applyProtection="1">
      <alignment vertical="center"/>
    </xf>
    <xf numFmtId="0" fontId="17" fillId="22" borderId="0" xfId="0" applyFont="1" applyFill="1" applyBorder="1" applyAlignment="1" applyProtection="1">
      <alignment horizontal="right" vertical="center"/>
    </xf>
    <xf numFmtId="0" fontId="105" fillId="6" borderId="0" xfId="0" applyFont="1" applyFill="1" applyBorder="1" applyAlignment="1" applyProtection="1">
      <alignment horizontal="center" vertical="center"/>
    </xf>
    <xf numFmtId="0" fontId="0" fillId="22" borderId="0" xfId="0" applyFill="1" applyBorder="1" applyAlignment="1" applyProtection="1">
      <alignment horizontal="center" vertical="center"/>
    </xf>
    <xf numFmtId="0" fontId="0" fillId="22" borderId="90" xfId="0" applyFill="1" applyBorder="1" applyProtection="1"/>
    <xf numFmtId="0" fontId="0" fillId="22" borderId="91" xfId="0" applyFill="1" applyBorder="1" applyProtection="1"/>
    <xf numFmtId="0" fontId="0" fillId="22" borderId="92" xfId="0" applyFill="1" applyBorder="1" applyProtection="1"/>
    <xf numFmtId="0" fontId="167" fillId="0" borderId="0" xfId="0" applyFont="1" applyProtection="1"/>
    <xf numFmtId="0" fontId="37" fillId="0" borderId="0" xfId="0" applyFont="1" applyProtection="1"/>
    <xf numFmtId="3" fontId="4" fillId="0" borderId="0" xfId="0" applyNumberFormat="1" applyFont="1" applyAlignment="1" applyProtection="1">
      <alignment horizontal="center" vertical="center"/>
    </xf>
    <xf numFmtId="0" fontId="33" fillId="0" borderId="0" xfId="0" applyFont="1" applyAlignment="1" applyProtection="1">
      <alignment horizontal="center" vertical="center"/>
    </xf>
    <xf numFmtId="0" fontId="92" fillId="0" borderId="0" xfId="0" applyFont="1" applyAlignment="1" applyProtection="1">
      <alignment vertical="center"/>
    </xf>
    <xf numFmtId="3" fontId="4" fillId="0" borderId="0" xfId="0" applyNumberFormat="1" applyFont="1" applyBorder="1" applyAlignment="1" applyProtection="1">
      <alignment horizontal="center" vertical="center"/>
    </xf>
    <xf numFmtId="0" fontId="87" fillId="0" borderId="0" xfId="0" applyFont="1" applyAlignment="1" applyProtection="1">
      <alignment horizontal="right" vertical="center"/>
    </xf>
    <xf numFmtId="0" fontId="0" fillId="0" borderId="0" xfId="0" applyAlignment="1" applyProtection="1">
      <alignment vertical="center"/>
    </xf>
    <xf numFmtId="0" fontId="101" fillId="0" borderId="0" xfId="0" applyFont="1" applyAlignment="1" applyProtection="1">
      <alignment horizontal="right"/>
    </xf>
    <xf numFmtId="0" fontId="17" fillId="22" borderId="94" xfId="0" applyFont="1" applyFill="1" applyBorder="1" applyAlignment="1" applyProtection="1">
      <alignment horizontal="center" vertical="center"/>
    </xf>
    <xf numFmtId="3" fontId="17" fillId="22" borderId="95" xfId="0" applyNumberFormat="1" applyFont="1" applyFill="1" applyBorder="1" applyAlignment="1" applyProtection="1">
      <alignment horizontal="center" vertical="center"/>
    </xf>
    <xf numFmtId="1" fontId="0" fillId="0" borderId="0" xfId="0" applyNumberFormat="1" applyFill="1" applyAlignment="1" applyProtection="1">
      <alignment horizontal="center"/>
    </xf>
    <xf numFmtId="0" fontId="0" fillId="0" borderId="0" xfId="0" applyFill="1" applyAlignment="1" applyProtection="1">
      <alignment horizontal="center"/>
    </xf>
    <xf numFmtId="1" fontId="5" fillId="0" borderId="0" xfId="0" applyNumberFormat="1" applyFont="1" applyFill="1" applyAlignment="1" applyProtection="1">
      <alignment horizontal="left"/>
    </xf>
    <xf numFmtId="0" fontId="0" fillId="0" borderId="0" xfId="0" applyFill="1" applyProtection="1"/>
    <xf numFmtId="0" fontId="47" fillId="0" borderId="0" xfId="1" applyAlignment="1" applyProtection="1">
      <alignment horizontal="right"/>
    </xf>
    <xf numFmtId="49" fontId="5" fillId="0" borderId="0" xfId="0" applyNumberFormat="1" applyFont="1" applyFill="1" applyAlignment="1" applyProtection="1">
      <alignment horizontal="left"/>
    </xf>
    <xf numFmtId="0" fontId="150" fillId="0" borderId="0" xfId="0" applyFont="1" applyProtection="1"/>
    <xf numFmtId="0" fontId="159" fillId="0" borderId="0" xfId="0" applyFont="1" applyAlignment="1" applyProtection="1">
      <alignment horizontal="center" vertical="center"/>
    </xf>
    <xf numFmtId="0" fontId="0" fillId="0" borderId="25" xfId="0" applyBorder="1" applyProtection="1"/>
    <xf numFmtId="0" fontId="37" fillId="0" borderId="0" xfId="0" applyFont="1" applyFill="1" applyAlignment="1" applyProtection="1">
      <alignment horizontal="center" vertical="center"/>
    </xf>
    <xf numFmtId="0" fontId="163" fillId="0" borderId="0" xfId="0" applyFont="1" applyProtection="1"/>
    <xf numFmtId="1" fontId="163" fillId="17" borderId="25" xfId="0" applyNumberFormat="1" applyFont="1" applyFill="1" applyBorder="1" applyAlignment="1" applyProtection="1">
      <alignment horizontal="center"/>
    </xf>
    <xf numFmtId="1" fontId="0" fillId="2" borderId="0" xfId="0" applyNumberFormat="1" applyFill="1" applyBorder="1" applyAlignment="1" applyProtection="1">
      <alignment horizontal="center"/>
    </xf>
    <xf numFmtId="1" fontId="162" fillId="2" borderId="0" xfId="0" applyNumberFormat="1" applyFont="1" applyFill="1" applyAlignment="1" applyProtection="1">
      <alignment horizontal="center"/>
    </xf>
    <xf numFmtId="1" fontId="0" fillId="2" borderId="17" xfId="0" applyNumberFormat="1" applyFill="1" applyBorder="1" applyAlignment="1" applyProtection="1">
      <alignment horizontal="center"/>
    </xf>
    <xf numFmtId="0" fontId="155" fillId="0" borderId="99" xfId="0" applyFont="1" applyBorder="1" applyAlignment="1" applyProtection="1">
      <alignment horizontal="center"/>
    </xf>
    <xf numFmtId="0" fontId="156" fillId="0" borderId="0" xfId="0" quotePrefix="1" applyFont="1" applyAlignment="1" applyProtection="1">
      <alignment horizontal="center"/>
    </xf>
    <xf numFmtId="0" fontId="163" fillId="0" borderId="93" xfId="0" applyFont="1" applyBorder="1" applyProtection="1"/>
    <xf numFmtId="0" fontId="5" fillId="0" borderId="0" xfId="0" applyFont="1" applyAlignment="1" applyProtection="1">
      <alignment horizontal="right" indent="1"/>
    </xf>
    <xf numFmtId="1" fontId="163" fillId="19" borderId="0" xfId="0" applyNumberFormat="1" applyFont="1" applyFill="1" applyAlignment="1" applyProtection="1">
      <alignment horizontal="center"/>
    </xf>
    <xf numFmtId="1" fontId="0" fillId="7" borderId="17" xfId="0" applyNumberFormat="1" applyFill="1" applyBorder="1" applyAlignment="1" applyProtection="1">
      <alignment horizontal="center"/>
    </xf>
    <xf numFmtId="1" fontId="161" fillId="2" borderId="0" xfId="0" applyNumberFormat="1" applyFont="1" applyFill="1" applyAlignment="1" applyProtection="1">
      <alignment horizontal="center"/>
    </xf>
    <xf numFmtId="0" fontId="155" fillId="0" borderId="0" xfId="0" applyFont="1" applyFill="1" applyAlignment="1" applyProtection="1">
      <alignment horizontal="center" vertical="center"/>
    </xf>
    <xf numFmtId="0" fontId="155" fillId="0" borderId="0" xfId="0" applyFont="1" applyAlignment="1" applyProtection="1">
      <alignment horizontal="center" vertical="center"/>
    </xf>
    <xf numFmtId="0" fontId="155" fillId="0" borderId="0" xfId="0" applyFont="1" applyAlignment="1" applyProtection="1">
      <alignment horizontal="center" vertical="center" wrapText="1"/>
    </xf>
    <xf numFmtId="0" fontId="158" fillId="3" borderId="0" xfId="0" applyFont="1" applyFill="1" applyAlignment="1" applyProtection="1">
      <alignment horizontal="center" vertical="center"/>
    </xf>
    <xf numFmtId="1" fontId="163" fillId="17" borderId="101" xfId="0" applyNumberFormat="1" applyFont="1" applyFill="1" applyBorder="1" applyAlignment="1" applyProtection="1">
      <alignment horizontal="center" vertical="center"/>
    </xf>
    <xf numFmtId="0" fontId="163" fillId="0" borderId="84" xfId="0" quotePrefix="1" applyFont="1" applyBorder="1" applyAlignment="1" applyProtection="1">
      <alignment horizontal="center" vertical="center"/>
    </xf>
    <xf numFmtId="0" fontId="163" fillId="0" borderId="103" xfId="0" quotePrefix="1" applyFont="1" applyBorder="1" applyAlignment="1" applyProtection="1">
      <alignment horizontal="center" vertical="center"/>
    </xf>
    <xf numFmtId="1" fontId="163" fillId="19" borderId="103" xfId="0" applyNumberFormat="1" applyFont="1" applyFill="1" applyBorder="1" applyAlignment="1" applyProtection="1">
      <alignment horizontal="center" vertical="center"/>
    </xf>
    <xf numFmtId="1" fontId="161" fillId="2" borderId="103" xfId="0" applyNumberFormat="1" applyFont="1" applyFill="1" applyBorder="1" applyAlignment="1" applyProtection="1">
      <alignment horizontal="center" vertical="center"/>
    </xf>
    <xf numFmtId="1" fontId="160" fillId="7" borderId="104" xfId="0" applyNumberFormat="1" applyFont="1" applyFill="1" applyBorder="1" applyAlignment="1" applyProtection="1">
      <alignment horizontal="center" vertical="center"/>
    </xf>
    <xf numFmtId="1" fontId="163" fillId="19" borderId="105" xfId="0" applyNumberFormat="1" applyFont="1" applyFill="1" applyBorder="1" applyAlignment="1" applyProtection="1">
      <alignment horizontal="center"/>
    </xf>
    <xf numFmtId="1" fontId="0" fillId="7" borderId="106" xfId="0" applyNumberFormat="1" applyFill="1" applyBorder="1" applyAlignment="1" applyProtection="1">
      <alignment horizontal="center"/>
    </xf>
    <xf numFmtId="1" fontId="161" fillId="2" borderId="105" xfId="0" applyNumberFormat="1" applyFont="1" applyFill="1" applyBorder="1" applyAlignment="1" applyProtection="1">
      <alignment horizontal="center"/>
    </xf>
    <xf numFmtId="1" fontId="163" fillId="17" borderId="107" xfId="0" applyNumberFormat="1" applyFont="1" applyFill="1" applyBorder="1" applyAlignment="1" applyProtection="1">
      <alignment horizontal="center"/>
    </xf>
    <xf numFmtId="1" fontId="0" fillId="2" borderId="108" xfId="0" applyNumberFormat="1" applyFill="1" applyBorder="1" applyAlignment="1" applyProtection="1">
      <alignment horizontal="center"/>
    </xf>
    <xf numFmtId="1" fontId="162" fillId="2" borderId="109" xfId="0" applyNumberFormat="1" applyFont="1" applyFill="1" applyBorder="1" applyAlignment="1" applyProtection="1">
      <alignment horizontal="center"/>
    </xf>
    <xf numFmtId="1" fontId="163" fillId="19" borderId="109" xfId="0" applyNumberFormat="1" applyFont="1" applyFill="1" applyBorder="1" applyAlignment="1" applyProtection="1">
      <alignment horizontal="center"/>
    </xf>
    <xf numFmtId="1" fontId="0" fillId="7" borderId="108" xfId="0" applyNumberFormat="1" applyFill="1" applyBorder="1" applyAlignment="1" applyProtection="1">
      <alignment horizontal="center"/>
    </xf>
    <xf numFmtId="1" fontId="161" fillId="2" borderId="109" xfId="0" applyNumberFormat="1" applyFont="1" applyFill="1" applyBorder="1" applyAlignment="1" applyProtection="1">
      <alignment horizontal="center"/>
    </xf>
    <xf numFmtId="1" fontId="160" fillId="2" borderId="110" xfId="0" applyNumberFormat="1" applyFont="1" applyFill="1" applyBorder="1" applyAlignment="1" applyProtection="1">
      <alignment horizontal="center" vertical="center"/>
    </xf>
    <xf numFmtId="0" fontId="39" fillId="3" borderId="111" xfId="0" applyFont="1" applyFill="1" applyBorder="1" applyAlignment="1" applyProtection="1">
      <alignment horizontal="center"/>
      <protection locked="0"/>
    </xf>
    <xf numFmtId="0" fontId="39" fillId="3" borderId="112" xfId="0" applyFont="1" applyFill="1" applyBorder="1" applyAlignment="1" applyProtection="1">
      <alignment horizontal="center"/>
      <protection locked="0"/>
    </xf>
    <xf numFmtId="0" fontId="39" fillId="3" borderId="114" xfId="0" applyFont="1" applyFill="1" applyBorder="1" applyAlignment="1" applyProtection="1">
      <alignment horizontal="center"/>
      <protection locked="0"/>
    </xf>
    <xf numFmtId="0" fontId="39" fillId="0" borderId="115" xfId="0" applyFont="1" applyFill="1" applyBorder="1" applyAlignment="1" applyProtection="1">
      <alignment horizontal="center" vertical="center"/>
    </xf>
    <xf numFmtId="0" fontId="39" fillId="0" borderId="116" xfId="0" applyFont="1" applyFill="1" applyBorder="1" applyAlignment="1" applyProtection="1">
      <alignment horizontal="center" vertical="center"/>
    </xf>
    <xf numFmtId="0" fontId="37" fillId="0" borderId="118" xfId="0" applyFont="1" applyFill="1" applyBorder="1" applyAlignment="1" applyProtection="1">
      <alignment horizontal="center" vertical="center"/>
    </xf>
    <xf numFmtId="0" fontId="37" fillId="0" borderId="119" xfId="0" applyFont="1" applyBorder="1" applyAlignment="1" applyProtection="1">
      <alignment horizontal="center" vertical="center" wrapText="1"/>
    </xf>
    <xf numFmtId="0" fontId="37" fillId="0" borderId="84" xfId="0" applyFont="1" applyBorder="1" applyAlignment="1" applyProtection="1">
      <alignment horizontal="center" vertical="center" wrapText="1"/>
    </xf>
    <xf numFmtId="0" fontId="101" fillId="0" borderId="55" xfId="0" applyFont="1" applyBorder="1" applyAlignment="1" applyProtection="1">
      <alignment vertical="center"/>
    </xf>
    <xf numFmtId="0" fontId="101" fillId="0" borderId="117" xfId="0" applyFont="1" applyFill="1" applyBorder="1" applyAlignment="1" applyProtection="1">
      <alignment horizontal="center" vertical="center"/>
    </xf>
    <xf numFmtId="1" fontId="178" fillId="0" borderId="0" xfId="0" applyNumberFormat="1" applyFont="1" applyFill="1" applyAlignment="1" applyProtection="1">
      <alignment horizontal="center" vertical="center"/>
    </xf>
    <xf numFmtId="0" fontId="179" fillId="0" borderId="25" xfId="0" applyFont="1" applyBorder="1" applyAlignment="1" applyProtection="1">
      <alignment horizontal="center" vertical="center"/>
    </xf>
    <xf numFmtId="0" fontId="181" fillId="0" borderId="0" xfId="0" applyFont="1" applyAlignment="1" applyProtection="1">
      <alignment horizontal="center"/>
    </xf>
    <xf numFmtId="0" fontId="33" fillId="0" borderId="100" xfId="0" applyFont="1" applyBorder="1" applyAlignment="1" applyProtection="1">
      <alignment horizontal="center"/>
    </xf>
    <xf numFmtId="0" fontId="182" fillId="0" borderId="12" xfId="0" applyFont="1" applyBorder="1" applyAlignment="1" applyProtection="1">
      <alignment horizontal="center"/>
    </xf>
    <xf numFmtId="0" fontId="12" fillId="0" borderId="0" xfId="0" applyFont="1" applyAlignment="1" applyProtection="1">
      <alignment horizontal="center"/>
    </xf>
    <xf numFmtId="0" fontId="12" fillId="0" borderId="100" xfId="0" quotePrefix="1" applyFont="1" applyBorder="1" applyAlignment="1" applyProtection="1">
      <alignment horizontal="center"/>
    </xf>
    <xf numFmtId="0" fontId="12" fillId="0" borderId="100" xfId="0" applyFont="1" applyBorder="1" applyAlignment="1" applyProtection="1">
      <alignment horizontal="center"/>
    </xf>
    <xf numFmtId="0" fontId="12" fillId="0" borderId="12" xfId="0" applyFont="1" applyBorder="1" applyAlignment="1" applyProtection="1">
      <alignment horizontal="center"/>
    </xf>
    <xf numFmtId="0" fontId="12" fillId="0" borderId="0" xfId="0" applyFont="1" applyProtection="1"/>
    <xf numFmtId="1" fontId="162" fillId="2" borderId="110" xfId="0" applyNumberFormat="1" applyFont="1" applyFill="1" applyBorder="1" applyAlignment="1" applyProtection="1">
      <alignment horizontal="center" vertical="center"/>
    </xf>
    <xf numFmtId="0" fontId="174" fillId="0" borderId="120" xfId="0" applyFont="1" applyFill="1" applyBorder="1" applyAlignment="1" applyProtection="1">
      <alignment horizontal="center" vertical="center"/>
    </xf>
    <xf numFmtId="0" fontId="174" fillId="0" borderId="121" xfId="0" applyFont="1" applyFill="1" applyBorder="1" applyAlignment="1" applyProtection="1">
      <alignment horizontal="center" vertical="center" wrapText="1"/>
    </xf>
    <xf numFmtId="1" fontId="157" fillId="18" borderId="122" xfId="0" applyNumberFormat="1" applyFont="1" applyFill="1" applyBorder="1" applyAlignment="1" applyProtection="1">
      <alignment horizontal="center" vertical="center"/>
    </xf>
    <xf numFmtId="1" fontId="157" fillId="18" borderId="121" xfId="0" applyNumberFormat="1" applyFont="1" applyFill="1" applyBorder="1" applyAlignment="1" applyProtection="1">
      <alignment horizontal="center"/>
    </xf>
    <xf numFmtId="1" fontId="157" fillId="18" borderId="123" xfId="0" applyNumberFormat="1" applyFont="1" applyFill="1" applyBorder="1" applyAlignment="1" applyProtection="1">
      <alignment horizontal="center"/>
    </xf>
    <xf numFmtId="1" fontId="157" fillId="18" borderId="125" xfId="0" applyNumberFormat="1" applyFont="1" applyFill="1" applyBorder="1" applyAlignment="1" applyProtection="1">
      <alignment horizontal="center"/>
    </xf>
    <xf numFmtId="1" fontId="157" fillId="18" borderId="126" xfId="0" applyNumberFormat="1" applyFont="1" applyFill="1" applyBorder="1" applyAlignment="1" applyProtection="1">
      <alignment horizontal="center" vertical="center"/>
    </xf>
    <xf numFmtId="0" fontId="4" fillId="0" borderId="127" xfId="0" applyFont="1" applyBorder="1" applyAlignment="1" applyProtection="1">
      <alignment horizontal="center" vertical="center" wrapText="1"/>
    </xf>
    <xf numFmtId="0" fontId="4" fillId="0" borderId="128" xfId="0" applyFont="1" applyBorder="1" applyAlignment="1" applyProtection="1">
      <alignment horizontal="center" vertical="center" wrapText="1"/>
    </xf>
    <xf numFmtId="0" fontId="164" fillId="18" borderId="129" xfId="0" applyFont="1" applyFill="1" applyBorder="1" applyAlignment="1" applyProtection="1">
      <alignment horizontal="center" vertical="center"/>
    </xf>
    <xf numFmtId="0" fontId="164" fillId="18" borderId="129" xfId="0" applyFont="1" applyFill="1" applyBorder="1" applyAlignment="1" applyProtection="1">
      <alignment horizontal="center" vertical="center" readingOrder="1"/>
    </xf>
    <xf numFmtId="0" fontId="164" fillId="18" borderId="130" xfId="0" applyFont="1" applyFill="1" applyBorder="1" applyAlignment="1" applyProtection="1">
      <alignment horizontal="center" vertical="center" readingOrder="1"/>
    </xf>
    <xf numFmtId="0" fontId="164" fillId="18" borderId="128" xfId="0" applyFont="1" applyFill="1" applyBorder="1" applyAlignment="1" applyProtection="1">
      <alignment horizontal="center" vertical="center" readingOrder="1"/>
    </xf>
    <xf numFmtId="0" fontId="164" fillId="18" borderId="132" xfId="0" applyFont="1" applyFill="1" applyBorder="1" applyAlignment="1" applyProtection="1">
      <alignment horizontal="center" vertical="center" readingOrder="1"/>
    </xf>
    <xf numFmtId="0" fontId="164" fillId="18" borderId="133" xfId="0" applyFont="1" applyFill="1" applyBorder="1" applyAlignment="1" applyProtection="1">
      <alignment horizontal="center" vertical="center"/>
    </xf>
    <xf numFmtId="0" fontId="39" fillId="5" borderId="113" xfId="0" applyFont="1" applyFill="1" applyBorder="1" applyAlignment="1" applyProtection="1">
      <alignment horizontal="center" vertical="center"/>
      <protection locked="0"/>
    </xf>
    <xf numFmtId="1" fontId="163" fillId="17" borderId="102" xfId="0" applyNumberFormat="1" applyFont="1" applyFill="1" applyBorder="1" applyAlignment="1" applyProtection="1">
      <alignment horizontal="center" vertical="center"/>
    </xf>
    <xf numFmtId="1" fontId="103" fillId="5" borderId="93" xfId="0" applyNumberFormat="1" applyFont="1" applyFill="1" applyBorder="1" applyAlignment="1" applyProtection="1">
      <alignment horizontal="center" vertical="center"/>
    </xf>
    <xf numFmtId="1" fontId="16" fillId="5" borderId="93" xfId="0" applyNumberFormat="1" applyFont="1" applyFill="1" applyBorder="1" applyAlignment="1" applyProtection="1">
      <alignment horizontal="center" vertical="center"/>
    </xf>
    <xf numFmtId="1" fontId="157" fillId="18" borderId="124" xfId="0" applyNumberFormat="1" applyFont="1" applyFill="1" applyBorder="1" applyAlignment="1" applyProtection="1">
      <alignment horizontal="center" vertical="center"/>
    </xf>
    <xf numFmtId="0" fontId="164" fillId="18" borderId="131" xfId="0" applyFont="1" applyFill="1" applyBorder="1" applyAlignment="1" applyProtection="1">
      <alignment horizontal="center" vertical="center"/>
    </xf>
    <xf numFmtId="0" fontId="41" fillId="0" borderId="0" xfId="0" quotePrefix="1" applyFont="1"/>
    <xf numFmtId="0" fontId="190" fillId="0" borderId="0" xfId="0" applyFont="1" applyProtection="1"/>
    <xf numFmtId="0" fontId="113" fillId="0" borderId="0" xfId="0" applyFont="1" applyAlignment="1" applyProtection="1">
      <alignment horizontal="right"/>
    </xf>
    <xf numFmtId="1" fontId="1" fillId="0" borderId="0" xfId="0" applyNumberFormat="1" applyFont="1" applyProtection="1"/>
    <xf numFmtId="0" fontId="91" fillId="0" borderId="0" xfId="0" applyFont="1" applyProtection="1"/>
    <xf numFmtId="0" fontId="175" fillId="0" borderId="0" xfId="0" applyFont="1" applyProtection="1"/>
    <xf numFmtId="0" fontId="4" fillId="0" borderId="0" xfId="0" applyFont="1" applyAlignment="1" applyProtection="1">
      <alignment horizontal="center"/>
    </xf>
    <xf numFmtId="0" fontId="1" fillId="0" borderId="0" xfId="0" applyFont="1" applyAlignment="1" applyProtection="1">
      <alignment horizontal="right"/>
    </xf>
    <xf numFmtId="172" fontId="1" fillId="0" borderId="0" xfId="0" applyNumberFormat="1" applyFont="1" applyProtection="1"/>
    <xf numFmtId="167" fontId="131" fillId="0" borderId="0" xfId="0" applyNumberFormat="1" applyFont="1" applyBorder="1" applyAlignment="1" applyProtection="1">
      <alignment horizontal="left"/>
    </xf>
    <xf numFmtId="167" fontId="1" fillId="0" borderId="0" xfId="0" applyNumberFormat="1" applyFont="1" applyBorder="1" applyAlignment="1" applyProtection="1">
      <alignment horizontal="center"/>
    </xf>
    <xf numFmtId="0" fontId="88" fillId="0" borderId="0" xfId="0" applyFont="1" applyAlignment="1" applyProtection="1">
      <alignment horizontal="center" vertical="center"/>
    </xf>
    <xf numFmtId="0" fontId="130" fillId="0" borderId="0" xfId="0" applyFont="1" applyProtection="1"/>
    <xf numFmtId="0" fontId="4" fillId="2" borderId="40" xfId="0" applyFont="1" applyFill="1" applyBorder="1" applyAlignment="1" applyProtection="1">
      <alignment horizontal="center" vertical="center"/>
    </xf>
    <xf numFmtId="0" fontId="2" fillId="0" borderId="58" xfId="0" applyFont="1" applyBorder="1" applyAlignment="1" applyProtection="1">
      <alignment horizontal="center" vertical="center"/>
    </xf>
    <xf numFmtId="0" fontId="2" fillId="0" borderId="59" xfId="0" applyFont="1" applyBorder="1" applyAlignment="1" applyProtection="1">
      <alignment horizontal="center" vertical="center" wrapText="1"/>
    </xf>
    <xf numFmtId="0" fontId="2" fillId="0" borderId="59" xfId="0" applyFont="1" applyBorder="1" applyAlignment="1" applyProtection="1">
      <alignment horizontal="center" vertical="center"/>
    </xf>
    <xf numFmtId="0" fontId="3" fillId="0" borderId="0" xfId="0" applyFont="1" applyAlignment="1" applyProtection="1">
      <alignment horizontal="left"/>
    </xf>
    <xf numFmtId="0" fontId="3" fillId="0" borderId="0" xfId="0" applyFont="1" applyProtection="1"/>
    <xf numFmtId="0" fontId="1" fillId="0" borderId="56" xfId="0" applyFont="1" applyBorder="1" applyAlignment="1" applyProtection="1">
      <alignment horizontal="center" vertical="center"/>
    </xf>
    <xf numFmtId="0" fontId="1" fillId="0" borderId="57" xfId="0" applyFont="1" applyBorder="1" applyAlignment="1" applyProtection="1">
      <alignment horizontal="center" vertical="center"/>
    </xf>
    <xf numFmtId="0" fontId="1" fillId="0" borderId="0" xfId="0" applyFont="1" applyAlignment="1" applyProtection="1">
      <alignment horizontal="center" vertical="center"/>
    </xf>
    <xf numFmtId="0" fontId="1" fillId="0" borderId="66" xfId="0" applyFont="1" applyFill="1" applyBorder="1" applyAlignment="1" applyProtection="1">
      <alignment horizontal="center" vertical="center"/>
    </xf>
    <xf numFmtId="1" fontId="2" fillId="6" borderId="60" xfId="0" applyNumberFormat="1" applyFont="1" applyFill="1" applyBorder="1" applyAlignment="1" applyProtection="1">
      <alignment horizontal="center" vertical="center"/>
    </xf>
    <xf numFmtId="1" fontId="2" fillId="6" borderId="61" xfId="0" applyNumberFormat="1" applyFont="1" applyFill="1" applyBorder="1" applyAlignment="1" applyProtection="1">
      <alignment horizontal="center" vertical="center"/>
    </xf>
    <xf numFmtId="1" fontId="2" fillId="6" borderId="62" xfId="0" applyNumberFormat="1" applyFont="1" applyFill="1" applyBorder="1" applyAlignment="1" applyProtection="1">
      <alignment horizontal="center" vertical="center"/>
    </xf>
    <xf numFmtId="0" fontId="38" fillId="0" borderId="0" xfId="0" applyFont="1" applyAlignment="1" applyProtection="1">
      <alignment horizontal="center" vertical="center"/>
    </xf>
    <xf numFmtId="0" fontId="97" fillId="0" borderId="0" xfId="0" applyFont="1" applyAlignment="1" applyProtection="1">
      <alignment horizontal="center" vertical="center"/>
    </xf>
    <xf numFmtId="0" fontId="1" fillId="0" borderId="67" xfId="0" applyFont="1" applyFill="1" applyBorder="1" applyAlignment="1" applyProtection="1">
      <alignment horizontal="center" vertical="center"/>
    </xf>
    <xf numFmtId="0" fontId="1" fillId="0" borderId="68" xfId="0" applyFont="1" applyFill="1" applyBorder="1" applyAlignment="1" applyProtection="1">
      <alignment horizontal="center" vertical="center"/>
    </xf>
    <xf numFmtId="0" fontId="1" fillId="0" borderId="70" xfId="0" applyFont="1" applyBorder="1" applyAlignment="1" applyProtection="1">
      <alignment horizontal="center" vertical="center"/>
    </xf>
    <xf numFmtId="0" fontId="98" fillId="0" borderId="0" xfId="0" applyFont="1" applyAlignment="1" applyProtection="1">
      <alignment horizontal="center"/>
    </xf>
    <xf numFmtId="0" fontId="1" fillId="0" borderId="73" xfId="0" applyFont="1" applyBorder="1" applyAlignment="1" applyProtection="1">
      <alignment horizontal="center" vertical="center"/>
    </xf>
    <xf numFmtId="0" fontId="1" fillId="0" borderId="59" xfId="0" applyFont="1" applyBorder="1" applyAlignment="1" applyProtection="1">
      <alignment horizontal="center" vertical="center"/>
    </xf>
    <xf numFmtId="0" fontId="1" fillId="0" borderId="0" xfId="0" applyFont="1" applyBorder="1" applyAlignment="1" applyProtection="1">
      <alignment horizontal="center" vertical="center"/>
    </xf>
    <xf numFmtId="0" fontId="92" fillId="0" borderId="0" xfId="0" applyFont="1" applyBorder="1" applyAlignment="1" applyProtection="1">
      <alignment horizontal="right"/>
    </xf>
    <xf numFmtId="167" fontId="3" fillId="0" borderId="0" xfId="0" applyNumberFormat="1" applyFont="1" applyBorder="1" applyProtection="1"/>
    <xf numFmtId="0" fontId="1" fillId="0" borderId="0" xfId="0" applyFont="1" applyBorder="1" applyProtection="1"/>
    <xf numFmtId="0" fontId="47" fillId="0" borderId="0" xfId="1" applyProtection="1"/>
    <xf numFmtId="0" fontId="17" fillId="0" borderId="0" xfId="0" applyFont="1" applyFill="1" applyAlignment="1" applyProtection="1">
      <alignment horizontal="center"/>
    </xf>
    <xf numFmtId="0" fontId="6" fillId="0" borderId="0" xfId="0" applyFont="1" applyAlignment="1" applyProtection="1">
      <alignment horizontal="left"/>
    </xf>
    <xf numFmtId="0" fontId="0" fillId="0" borderId="0" xfId="0" applyAlignment="1" applyProtection="1">
      <alignment horizontal="left"/>
    </xf>
    <xf numFmtId="0" fontId="0" fillId="0" borderId="0" xfId="0" applyAlignment="1" applyProtection="1">
      <alignment vertical="center"/>
    </xf>
    <xf numFmtId="0" fontId="90" fillId="0" borderId="0" xfId="0" quotePrefix="1" applyFont="1" applyAlignment="1" applyProtection="1">
      <alignment horizontal="right"/>
    </xf>
    <xf numFmtId="0" fontId="1" fillId="0" borderId="0" xfId="0" applyFont="1" applyAlignment="1" applyProtection="1">
      <alignment horizontal="center"/>
    </xf>
    <xf numFmtId="0" fontId="99" fillId="6" borderId="0" xfId="0" applyFont="1" applyFill="1" applyProtection="1"/>
    <xf numFmtId="0" fontId="1" fillId="0" borderId="0" xfId="0" quotePrefix="1" applyFont="1" applyAlignment="1" applyProtection="1">
      <alignment horizontal="right"/>
    </xf>
    <xf numFmtId="0" fontId="1" fillId="0" borderId="0" xfId="0" applyFont="1" applyAlignment="1" applyProtection="1"/>
    <xf numFmtId="169" fontId="99" fillId="0" borderId="0" xfId="0" applyNumberFormat="1" applyFont="1" applyFill="1" applyAlignment="1" applyProtection="1">
      <alignment horizontal="center"/>
    </xf>
    <xf numFmtId="169" fontId="100" fillId="0" borderId="0" xfId="0" applyNumberFormat="1" applyFont="1" applyFill="1" applyAlignment="1" applyProtection="1">
      <alignment horizontal="center"/>
    </xf>
    <xf numFmtId="0" fontId="99" fillId="0" borderId="0" xfId="0" applyFont="1" applyFill="1" applyProtection="1"/>
    <xf numFmtId="0" fontId="1" fillId="0" borderId="0" xfId="0" applyFont="1" applyAlignment="1" applyProtection="1">
      <alignment horizontal="left"/>
    </xf>
    <xf numFmtId="0" fontId="17" fillId="6" borderId="0" xfId="0" applyFont="1" applyFill="1" applyProtection="1"/>
    <xf numFmtId="0" fontId="101" fillId="0" borderId="0" xfId="0" applyFont="1" applyAlignment="1" applyProtection="1">
      <alignment horizontal="right" vertical="center"/>
    </xf>
    <xf numFmtId="0" fontId="101" fillId="0" borderId="0" xfId="0" applyFont="1" applyAlignment="1" applyProtection="1">
      <alignment horizontal="left" vertical="center"/>
    </xf>
    <xf numFmtId="0" fontId="102" fillId="0" borderId="0" xfId="0" applyFont="1" applyAlignment="1" applyProtection="1">
      <alignment horizontal="left" vertical="center"/>
    </xf>
    <xf numFmtId="0" fontId="4" fillId="11" borderId="0" xfId="0" applyFont="1" applyFill="1" applyProtection="1"/>
    <xf numFmtId="169" fontId="1" fillId="0" borderId="0" xfId="0" applyNumberFormat="1" applyFont="1" applyProtection="1"/>
    <xf numFmtId="0" fontId="17" fillId="11" borderId="0" xfId="0" applyFont="1" applyFill="1" applyProtection="1"/>
    <xf numFmtId="0" fontId="0" fillId="0" borderId="0" xfId="0" applyAlignment="1" applyProtection="1"/>
    <xf numFmtId="0" fontId="143" fillId="0" borderId="0" xfId="0" applyFont="1" applyProtection="1"/>
    <xf numFmtId="2" fontId="138" fillId="0" borderId="0" xfId="0" applyNumberFormat="1" applyFont="1" applyProtection="1"/>
    <xf numFmtId="0" fontId="139" fillId="0" borderId="0" xfId="0" applyFont="1" applyAlignment="1" applyProtection="1">
      <alignment horizontal="center"/>
    </xf>
    <xf numFmtId="0" fontId="139" fillId="0" borderId="0" xfId="0" applyFont="1" applyProtection="1"/>
    <xf numFmtId="0" fontId="2" fillId="0" borderId="0" xfId="0" applyFont="1" applyProtection="1"/>
    <xf numFmtId="2" fontId="140" fillId="0" borderId="0" xfId="0" applyNumberFormat="1" applyFont="1" applyAlignment="1" applyProtection="1">
      <alignment horizontal="center"/>
    </xf>
    <xf numFmtId="1" fontId="191" fillId="6" borderId="0" xfId="0" applyNumberFormat="1" applyFont="1" applyFill="1" applyProtection="1"/>
    <xf numFmtId="0" fontId="41" fillId="0" borderId="0" xfId="0" applyFont="1" applyAlignment="1" applyProtection="1">
      <alignment horizontal="right"/>
    </xf>
    <xf numFmtId="1" fontId="4" fillId="0" borderId="0" xfId="0" applyNumberFormat="1" applyFont="1" applyProtection="1"/>
    <xf numFmtId="0" fontId="1" fillId="0" borderId="0" xfId="0" applyFont="1" applyFill="1" applyProtection="1"/>
    <xf numFmtId="171" fontId="1" fillId="0" borderId="0" xfId="0" applyNumberFormat="1" applyFont="1" applyProtection="1"/>
    <xf numFmtId="17" fontId="1" fillId="0" borderId="0" xfId="0" quotePrefix="1" applyNumberFormat="1" applyFont="1" applyAlignment="1" applyProtection="1">
      <alignment horizontal="center"/>
    </xf>
    <xf numFmtId="1" fontId="4" fillId="0" borderId="0" xfId="0" applyNumberFormat="1" applyFont="1" applyAlignment="1" applyProtection="1">
      <alignment horizontal="left"/>
    </xf>
    <xf numFmtId="0" fontId="1" fillId="0" borderId="0" xfId="0" applyFont="1" applyFill="1" applyAlignment="1" applyProtection="1">
      <alignment horizontal="right"/>
    </xf>
    <xf numFmtId="166" fontId="4" fillId="0" borderId="0" xfId="0" applyNumberFormat="1" applyFont="1" applyFill="1" applyProtection="1"/>
    <xf numFmtId="2" fontId="140" fillId="0" borderId="0" xfId="0" applyNumberFormat="1" applyFont="1" applyProtection="1"/>
    <xf numFmtId="1" fontId="2" fillId="0" borderId="0" xfId="0" applyNumberFormat="1" applyFont="1" applyProtection="1"/>
    <xf numFmtId="0" fontId="68" fillId="0" borderId="0" xfId="0" applyFont="1" applyAlignment="1" applyProtection="1">
      <alignment horizontal="right"/>
    </xf>
    <xf numFmtId="2" fontId="192" fillId="6" borderId="0" xfId="0" applyNumberFormat="1" applyFont="1" applyFill="1" applyProtection="1"/>
    <xf numFmtId="166" fontId="1" fillId="0" borderId="0" xfId="0" applyNumberFormat="1" applyFont="1" applyFill="1" applyProtection="1"/>
    <xf numFmtId="0" fontId="140" fillId="0" borderId="0" xfId="0" applyFont="1" applyProtection="1"/>
    <xf numFmtId="0" fontId="194" fillId="0" borderId="0" xfId="0" applyFont="1" applyAlignment="1" applyProtection="1">
      <alignment horizontal="center" vertical="center"/>
    </xf>
    <xf numFmtId="0" fontId="146" fillId="0" borderId="0" xfId="0" applyFont="1" applyProtection="1"/>
    <xf numFmtId="0" fontId="89" fillId="3" borderId="0" xfId="0" applyFont="1" applyFill="1" applyAlignment="1" applyProtection="1">
      <alignment horizontal="center" vertical="center"/>
      <protection locked="0"/>
    </xf>
    <xf numFmtId="0" fontId="6" fillId="0" borderId="0" xfId="0" applyFont="1" applyProtection="1"/>
    <xf numFmtId="0" fontId="5" fillId="0" borderId="0" xfId="0" applyFont="1" applyAlignment="1" applyProtection="1">
      <alignment horizontal="center"/>
    </xf>
    <xf numFmtId="0" fontId="1" fillId="0" borderId="0" xfId="0" quotePrefix="1" applyFont="1" applyAlignment="1" applyProtection="1">
      <alignment horizontal="center" vertical="center"/>
    </xf>
    <xf numFmtId="173" fontId="193" fillId="0" borderId="0" xfId="0" applyNumberFormat="1" applyFont="1" applyAlignment="1" applyProtection="1">
      <alignment horizontal="center"/>
    </xf>
    <xf numFmtId="0" fontId="149" fillId="0" borderId="0" xfId="0" applyFont="1" applyAlignment="1" applyProtection="1">
      <alignment horizontal="right"/>
    </xf>
    <xf numFmtId="0" fontId="34" fillId="0" borderId="134" xfId="0" applyFont="1" applyBorder="1" applyAlignment="1" applyProtection="1">
      <alignment horizontal="center" vertical="center"/>
    </xf>
    <xf numFmtId="3" fontId="35" fillId="2" borderId="135" xfId="0" applyNumberFormat="1" applyFont="1" applyFill="1" applyBorder="1" applyAlignment="1" applyProtection="1">
      <alignment horizontal="center" vertical="center"/>
    </xf>
    <xf numFmtId="0" fontId="4" fillId="0" borderId="136" xfId="0" applyFont="1" applyBorder="1" applyAlignment="1" applyProtection="1">
      <alignment horizontal="center" vertical="center"/>
    </xf>
    <xf numFmtId="1" fontId="198" fillId="0" borderId="137" xfId="0" applyNumberFormat="1" applyFont="1" applyBorder="1" applyAlignment="1" applyProtection="1">
      <alignment horizontal="center" vertical="center"/>
    </xf>
    <xf numFmtId="0" fontId="4" fillId="0" borderId="138" xfId="0" applyFont="1" applyBorder="1" applyAlignment="1" applyProtection="1">
      <alignment horizontal="center" vertical="center"/>
    </xf>
    <xf numFmtId="2" fontId="198" fillId="0" borderId="139" xfId="0" applyNumberFormat="1" applyFont="1" applyBorder="1" applyAlignment="1" applyProtection="1">
      <alignment horizontal="center" vertical="center"/>
    </xf>
    <xf numFmtId="0" fontId="6" fillId="0" borderId="0" xfId="0" applyFont="1" applyAlignment="1" applyProtection="1">
      <alignment horizontal="center"/>
    </xf>
    <xf numFmtId="0" fontId="4" fillId="0" borderId="0" xfId="0" applyFont="1" applyAlignment="1" applyProtection="1">
      <alignment horizontal="left"/>
    </xf>
    <xf numFmtId="164" fontId="1" fillId="0" borderId="0" xfId="0" applyNumberFormat="1" applyFont="1" applyAlignment="1" applyProtection="1">
      <alignment horizontal="right"/>
    </xf>
    <xf numFmtId="164" fontId="1" fillId="0" borderId="0" xfId="0" applyNumberFormat="1" applyFont="1" applyProtection="1"/>
    <xf numFmtId="0" fontId="6" fillId="0" borderId="0" xfId="0" applyFont="1" applyAlignment="1">
      <alignment horizontal="center"/>
    </xf>
    <xf numFmtId="1" fontId="5" fillId="0" borderId="0" xfId="0" applyNumberFormat="1" applyFont="1" applyAlignment="1" applyProtection="1">
      <alignment horizontal="left"/>
    </xf>
    <xf numFmtId="0" fontId="199" fillId="0" borderId="0" xfId="0" applyFont="1" applyAlignment="1" applyProtection="1">
      <alignment horizontal="left"/>
    </xf>
    <xf numFmtId="0" fontId="14" fillId="0" borderId="0" xfId="0" applyFont="1" applyAlignment="1" applyProtection="1">
      <alignment horizontal="left" vertical="center" indent="1"/>
    </xf>
    <xf numFmtId="0" fontId="46" fillId="0" borderId="0" xfId="0" applyFont="1" applyProtection="1"/>
    <xf numFmtId="0" fontId="0" fillId="21" borderId="0" xfId="0" applyFill="1" applyProtection="1"/>
    <xf numFmtId="0" fontId="0" fillId="21" borderId="0" xfId="0" applyFill="1" applyAlignment="1" applyProtection="1">
      <alignment horizontal="right"/>
    </xf>
    <xf numFmtId="0" fontId="78" fillId="0" borderId="0" xfId="0" applyFont="1" applyAlignment="1" applyProtection="1">
      <alignment horizontal="left" vertical="center" indent="3"/>
    </xf>
    <xf numFmtId="0" fontId="15" fillId="0" borderId="0" xfId="0" applyFont="1" applyAlignment="1" applyProtection="1">
      <alignment horizontal="left" vertical="center" indent="3"/>
    </xf>
    <xf numFmtId="0" fontId="15" fillId="0" borderId="0" xfId="0" applyFont="1" applyAlignment="1" applyProtection="1">
      <alignment horizontal="left" vertical="center"/>
    </xf>
    <xf numFmtId="0" fontId="10" fillId="0" borderId="0" xfId="0" applyFont="1" applyAlignment="1" applyProtection="1">
      <alignment vertical="center"/>
    </xf>
    <xf numFmtId="0" fontId="82" fillId="0" borderId="0" xfId="0" applyFont="1" applyProtection="1"/>
    <xf numFmtId="0" fontId="77" fillId="0" borderId="0" xfId="0" applyFont="1" applyProtection="1"/>
    <xf numFmtId="0" fontId="83" fillId="0" borderId="0" xfId="0" applyFont="1" applyAlignment="1" applyProtection="1">
      <alignment horizontal="left" vertical="center" readingOrder="1"/>
    </xf>
    <xf numFmtId="0" fontId="0" fillId="3" borderId="0" xfId="0" applyFill="1" applyProtection="1"/>
    <xf numFmtId="0" fontId="29" fillId="3" borderId="0" xfId="0" applyFont="1" applyFill="1" applyAlignment="1" applyProtection="1">
      <alignment horizontal="center" vertical="center"/>
    </xf>
    <xf numFmtId="0" fontId="48" fillId="3" borderId="0" xfId="1" applyFont="1" applyFill="1" applyAlignment="1" applyProtection="1">
      <alignment horizontal="left" vertical="center"/>
    </xf>
    <xf numFmtId="0" fontId="1" fillId="3" borderId="0" xfId="0" applyFont="1" applyFill="1" applyProtection="1"/>
    <xf numFmtId="0" fontId="5" fillId="0" borderId="0" xfId="0" applyFont="1" applyProtection="1"/>
    <xf numFmtId="0" fontId="51" fillId="0" borderId="0" xfId="0" applyFont="1" applyAlignment="1" applyProtection="1">
      <alignment horizontal="left" vertical="center" indent="4"/>
    </xf>
    <xf numFmtId="0" fontId="52" fillId="0" borderId="0" xfId="0" applyFont="1" applyAlignment="1" applyProtection="1">
      <alignment horizontal="left" vertical="center" indent="4"/>
    </xf>
    <xf numFmtId="0" fontId="52" fillId="0" borderId="31" xfId="0" applyFont="1" applyBorder="1" applyAlignment="1" applyProtection="1">
      <alignment horizontal="left" vertical="center" indent="1"/>
    </xf>
    <xf numFmtId="0" fontId="51" fillId="0" borderId="31" xfId="0" applyFont="1" applyBorder="1" applyAlignment="1" applyProtection="1">
      <alignment horizontal="left" vertical="center" indent="4"/>
    </xf>
    <xf numFmtId="0" fontId="59" fillId="0" borderId="31" xfId="0" quotePrefix="1" applyFont="1" applyBorder="1" applyAlignment="1" applyProtection="1">
      <alignment vertical="center"/>
    </xf>
    <xf numFmtId="0" fontId="57" fillId="0" borderId="0" xfId="0" quotePrefix="1" applyFont="1" applyAlignment="1" applyProtection="1">
      <alignment horizontal="left" vertical="center" indent="4"/>
    </xf>
    <xf numFmtId="0" fontId="52" fillId="0" borderId="31" xfId="0" applyFont="1" applyBorder="1" applyAlignment="1" applyProtection="1">
      <alignment horizontal="left" vertical="center" indent="4"/>
    </xf>
    <xf numFmtId="0" fontId="51" fillId="0" borderId="31" xfId="0" applyFont="1" applyBorder="1" applyAlignment="1" applyProtection="1">
      <alignment horizontal="left" vertical="center" indent="1"/>
    </xf>
    <xf numFmtId="0" fontId="33" fillId="0" borderId="0" xfId="0" applyFont="1" applyProtection="1"/>
    <xf numFmtId="0" fontId="50" fillId="0" borderId="0" xfId="0" applyFont="1" applyProtection="1"/>
    <xf numFmtId="0" fontId="49" fillId="0" borderId="0" xfId="1" applyFont="1" applyProtection="1"/>
    <xf numFmtId="0" fontId="87" fillId="0" borderId="0" xfId="0" applyFont="1" applyAlignment="1" applyProtection="1">
      <alignment horizontal="center"/>
    </xf>
    <xf numFmtId="0" fontId="89" fillId="3" borderId="0" xfId="0" applyFont="1" applyFill="1" applyAlignment="1" applyProtection="1">
      <alignment horizontal="center" vertical="center"/>
    </xf>
    <xf numFmtId="0" fontId="1" fillId="0" borderId="0" xfId="0" applyFont="1" applyBorder="1" applyAlignment="1" applyProtection="1">
      <alignment horizontal="center"/>
    </xf>
    <xf numFmtId="0" fontId="2" fillId="0" borderId="0" xfId="0" applyFont="1" applyAlignment="1" applyProtection="1">
      <alignment horizontal="left"/>
    </xf>
    <xf numFmtId="0" fontId="1" fillId="0" borderId="0" xfId="0" applyFont="1" applyAlignment="1" applyProtection="1">
      <alignment vertical="center"/>
    </xf>
    <xf numFmtId="1" fontId="2" fillId="5" borderId="61" xfId="0" applyNumberFormat="1" applyFont="1" applyFill="1" applyBorder="1" applyAlignment="1" applyProtection="1">
      <alignment horizontal="center" vertical="center"/>
    </xf>
    <xf numFmtId="1" fontId="1" fillId="0" borderId="0" xfId="0" applyNumberFormat="1" applyFont="1" applyAlignment="1" applyProtection="1">
      <alignment horizontal="center" vertical="center"/>
    </xf>
    <xf numFmtId="0" fontId="205" fillId="0" borderId="0" xfId="0" applyFont="1" applyProtection="1"/>
    <xf numFmtId="0" fontId="206" fillId="0" borderId="0" xfId="0" applyFont="1" applyProtection="1"/>
    <xf numFmtId="168" fontId="3" fillId="0" borderId="0" xfId="0" applyNumberFormat="1" applyFont="1" applyAlignment="1" applyProtection="1">
      <alignment horizontal="left"/>
    </xf>
    <xf numFmtId="0" fontId="209" fillId="0" borderId="0" xfId="0" applyFont="1" applyProtection="1"/>
    <xf numFmtId="0" fontId="176" fillId="0" borderId="0" xfId="0" applyFont="1" applyProtection="1"/>
    <xf numFmtId="0" fontId="142" fillId="0" borderId="0" xfId="0" applyFont="1" applyProtection="1"/>
    <xf numFmtId="0" fontId="145" fillId="0" borderId="0" xfId="0" applyFont="1" applyAlignment="1" applyProtection="1">
      <alignment horizontal="center" vertical="center"/>
    </xf>
    <xf numFmtId="2" fontId="148" fillId="0" borderId="0" xfId="0" applyNumberFormat="1" applyFont="1" applyProtection="1"/>
    <xf numFmtId="0" fontId="138" fillId="0" borderId="0" xfId="0" applyFont="1" applyProtection="1"/>
    <xf numFmtId="2" fontId="141" fillId="0" borderId="0" xfId="0" applyNumberFormat="1" applyFont="1" applyAlignment="1" applyProtection="1">
      <alignment horizontal="center"/>
    </xf>
    <xf numFmtId="0" fontId="176" fillId="0" borderId="0" xfId="0" applyFont="1" applyAlignment="1" applyProtection="1">
      <alignment vertical="center"/>
    </xf>
    <xf numFmtId="0" fontId="34" fillId="0" borderId="0" xfId="0" applyFont="1" applyAlignment="1" applyProtection="1">
      <alignment horizontal="center" vertical="center"/>
    </xf>
    <xf numFmtId="0" fontId="35" fillId="3" borderId="0" xfId="0" applyFont="1" applyFill="1" applyAlignment="1" applyProtection="1">
      <alignment horizontal="center" vertical="center"/>
    </xf>
    <xf numFmtId="0" fontId="149" fillId="0" borderId="0" xfId="0" applyFont="1" applyAlignment="1" applyProtection="1">
      <alignment horizontal="center"/>
    </xf>
    <xf numFmtId="1" fontId="147" fillId="6" borderId="0" xfId="0" applyNumberFormat="1" applyFont="1" applyFill="1" applyProtection="1"/>
    <xf numFmtId="1" fontId="2" fillId="0" borderId="0" xfId="0" applyNumberFormat="1" applyFont="1" applyAlignment="1" applyProtection="1">
      <alignment horizontal="left"/>
    </xf>
    <xf numFmtId="2" fontId="68" fillId="6" borderId="0" xfId="0" applyNumberFormat="1" applyFont="1" applyFill="1" applyProtection="1"/>
    <xf numFmtId="168" fontId="28" fillId="7" borderId="141" xfId="0" applyNumberFormat="1" applyFont="1" applyFill="1" applyBorder="1" applyAlignment="1" applyProtection="1">
      <alignment horizontal="center"/>
    </xf>
    <xf numFmtId="168" fontId="28" fillId="2" borderId="140" xfId="0" applyNumberFormat="1" applyFont="1" applyFill="1" applyBorder="1" applyAlignment="1" applyProtection="1">
      <alignment horizontal="center"/>
    </xf>
    <xf numFmtId="1" fontId="2" fillId="2" borderId="143" xfId="0" applyNumberFormat="1" applyFont="1" applyFill="1" applyBorder="1" applyAlignment="1" applyProtection="1">
      <alignment horizontal="center" vertical="center"/>
    </xf>
    <xf numFmtId="0" fontId="1" fillId="2" borderId="140" xfId="0" applyFont="1" applyFill="1" applyBorder="1" applyAlignment="1" applyProtection="1">
      <alignment horizontal="center"/>
    </xf>
    <xf numFmtId="168" fontId="28" fillId="22" borderId="144" xfId="0" applyNumberFormat="1" applyFont="1" applyFill="1" applyBorder="1" applyAlignment="1" applyProtection="1">
      <alignment horizontal="center"/>
    </xf>
    <xf numFmtId="168" fontId="28" fillId="22" borderId="142" xfId="0" applyNumberFormat="1" applyFont="1" applyFill="1" applyBorder="1" applyAlignment="1" applyProtection="1">
      <alignment horizontal="center"/>
    </xf>
    <xf numFmtId="1" fontId="2" fillId="6" borderId="145" xfId="0" applyNumberFormat="1" applyFont="1" applyFill="1" applyBorder="1" applyAlignment="1" applyProtection="1">
      <alignment horizontal="center" vertical="center"/>
    </xf>
    <xf numFmtId="0" fontId="1" fillId="6" borderId="147" xfId="0" applyFont="1" applyFill="1" applyBorder="1" applyAlignment="1" applyProtection="1">
      <alignment horizontal="center"/>
    </xf>
    <xf numFmtId="0" fontId="1" fillId="6" borderId="146" xfId="0" applyFont="1" applyFill="1" applyBorder="1" applyAlignment="1" applyProtection="1">
      <alignment horizontal="center"/>
    </xf>
    <xf numFmtId="0" fontId="1" fillId="6" borderId="148" xfId="0" applyFont="1" applyFill="1" applyBorder="1" applyAlignment="1" applyProtection="1">
      <alignment horizontal="center"/>
    </xf>
    <xf numFmtId="1" fontId="2" fillId="6" borderId="143" xfId="0" applyNumberFormat="1" applyFont="1" applyFill="1" applyBorder="1" applyAlignment="1" applyProtection="1">
      <alignment horizontal="center" vertical="center"/>
    </xf>
    <xf numFmtId="0" fontId="1" fillId="0" borderId="32" xfId="0" applyFont="1" applyBorder="1" applyAlignment="1" applyProtection="1">
      <alignment horizontal="center"/>
    </xf>
    <xf numFmtId="0" fontId="1" fillId="0" borderId="34" xfId="0" applyFont="1" applyBorder="1" applyAlignment="1" applyProtection="1">
      <alignment horizontal="center"/>
    </xf>
    <xf numFmtId="0" fontId="1" fillId="0" borderId="35" xfId="0" applyFont="1" applyBorder="1" applyAlignment="1" applyProtection="1">
      <alignment horizontal="center"/>
    </xf>
    <xf numFmtId="0" fontId="1" fillId="0" borderId="36" xfId="0" applyFont="1" applyBorder="1" applyAlignment="1" applyProtection="1">
      <alignment horizontal="center"/>
    </xf>
    <xf numFmtId="0" fontId="1" fillId="0" borderId="38" xfId="0" applyFont="1" applyBorder="1" applyAlignment="1" applyProtection="1">
      <alignment horizontal="center"/>
    </xf>
    <xf numFmtId="0" fontId="1" fillId="0" borderId="39" xfId="0" applyFont="1" applyBorder="1" applyAlignment="1" applyProtection="1">
      <alignment horizontal="center"/>
    </xf>
    <xf numFmtId="0" fontId="3" fillId="0" borderId="40" xfId="0" applyFont="1" applyBorder="1" applyAlignment="1" applyProtection="1">
      <alignment horizontal="center"/>
    </xf>
    <xf numFmtId="0" fontId="3" fillId="0" borderId="37" xfId="0" applyFont="1" applyBorder="1" applyAlignment="1" applyProtection="1">
      <alignment horizontal="center"/>
    </xf>
    <xf numFmtId="1" fontId="1" fillId="0" borderId="39" xfId="0" applyNumberFormat="1" applyFont="1" applyBorder="1" applyAlignment="1" applyProtection="1">
      <alignment horizontal="center"/>
    </xf>
    <xf numFmtId="49" fontId="1" fillId="0" borderId="38" xfId="0" applyNumberFormat="1" applyFont="1" applyBorder="1" applyAlignment="1" applyProtection="1">
      <alignment horizontal="center" vertical="center"/>
    </xf>
    <xf numFmtId="0" fontId="1" fillId="0" borderId="71" xfId="0" applyFont="1" applyBorder="1" applyAlignment="1" applyProtection="1">
      <alignment horizontal="center" vertical="center"/>
    </xf>
    <xf numFmtId="0" fontId="1" fillId="0" borderId="73" xfId="0" applyFont="1" applyFill="1" applyBorder="1" applyAlignment="1" applyProtection="1">
      <alignment horizontal="center" vertical="center"/>
    </xf>
    <xf numFmtId="49" fontId="25" fillId="0" borderId="32" xfId="0" applyNumberFormat="1" applyFont="1" applyFill="1" applyBorder="1" applyAlignment="1" applyProtection="1">
      <alignment horizontal="center" vertical="center"/>
    </xf>
    <xf numFmtId="49" fontId="1" fillId="0" borderId="45" xfId="0" applyNumberFormat="1" applyFont="1" applyBorder="1" applyAlignment="1" applyProtection="1">
      <alignment horizontal="center" vertical="center"/>
    </xf>
    <xf numFmtId="49" fontId="1" fillId="0" borderId="35" xfId="0" applyNumberFormat="1" applyFont="1" applyBorder="1" applyAlignment="1" applyProtection="1">
      <alignment horizontal="center" vertical="center"/>
    </xf>
    <xf numFmtId="168" fontId="28" fillId="22" borderId="0" xfId="0" applyNumberFormat="1" applyFont="1" applyFill="1" applyAlignment="1" applyProtection="1">
      <alignment horizontal="center" vertical="center"/>
    </xf>
    <xf numFmtId="168" fontId="28" fillId="5" borderId="0" xfId="0" applyNumberFormat="1" applyFont="1" applyFill="1" applyAlignment="1" applyProtection="1">
      <alignment horizontal="center" vertical="center"/>
    </xf>
    <xf numFmtId="168" fontId="28" fillId="7" borderId="0" xfId="0" applyNumberFormat="1" applyFont="1" applyFill="1" applyAlignment="1" applyProtection="1">
      <alignment horizontal="center" vertical="center"/>
    </xf>
    <xf numFmtId="0" fontId="1" fillId="6" borderId="0" xfId="0" applyFont="1" applyFill="1" applyAlignment="1" applyProtection="1">
      <alignment horizontal="center" vertical="center"/>
    </xf>
    <xf numFmtId="0" fontId="1" fillId="5" borderId="0" xfId="0" applyFont="1" applyFill="1" applyAlignment="1" applyProtection="1">
      <alignment horizontal="center" vertical="center"/>
    </xf>
    <xf numFmtId="0" fontId="1" fillId="0" borderId="0" xfId="0" applyFont="1" applyFill="1" applyAlignment="1" applyProtection="1">
      <alignment vertical="center"/>
    </xf>
    <xf numFmtId="0" fontId="98" fillId="0" borderId="0" xfId="0" applyFont="1" applyAlignment="1" applyProtection="1">
      <alignment horizontal="center" vertical="center"/>
    </xf>
    <xf numFmtId="1" fontId="1" fillId="0" borderId="0" xfId="0" applyNumberFormat="1" applyFont="1" applyAlignment="1" applyProtection="1">
      <alignment vertical="center"/>
    </xf>
    <xf numFmtId="0" fontId="92" fillId="0" borderId="96" xfId="0" applyFont="1" applyBorder="1" applyAlignment="1" applyProtection="1">
      <alignment horizontal="right" vertical="center"/>
    </xf>
    <xf numFmtId="167" fontId="3" fillId="0" borderId="97" xfId="0" applyNumberFormat="1" applyFont="1" applyBorder="1" applyAlignment="1" applyProtection="1">
      <alignment vertical="center"/>
    </xf>
    <xf numFmtId="0" fontId="1" fillId="0" borderId="98" xfId="0" applyFont="1" applyBorder="1" applyAlignment="1" applyProtection="1">
      <alignment vertical="center"/>
    </xf>
    <xf numFmtId="168" fontId="28" fillId="6" borderId="0" xfId="0" applyNumberFormat="1" applyFont="1" applyFill="1" applyAlignment="1" applyProtection="1">
      <alignment horizontal="center" vertical="center"/>
    </xf>
    <xf numFmtId="0" fontId="1" fillId="6" borderId="0" xfId="0" applyNumberFormat="1" applyFont="1" applyFill="1" applyAlignment="1" applyProtection="1">
      <alignment horizontal="center" vertical="center"/>
    </xf>
    <xf numFmtId="165" fontId="1" fillId="0" borderId="0" xfId="0" applyNumberFormat="1" applyFont="1" applyAlignment="1" applyProtection="1">
      <alignment vertical="center"/>
    </xf>
    <xf numFmtId="0" fontId="0" fillId="0" borderId="0" xfId="0" applyAlignment="1">
      <alignment vertical="center"/>
    </xf>
    <xf numFmtId="0" fontId="1" fillId="0" borderId="0" xfId="0" applyFont="1" applyAlignment="1" applyProtection="1">
      <alignment horizontal="center"/>
    </xf>
    <xf numFmtId="0" fontId="103" fillId="3" borderId="33" xfId="0" applyFont="1" applyFill="1" applyBorder="1" applyAlignment="1">
      <alignment horizontal="center"/>
    </xf>
    <xf numFmtId="0" fontId="104" fillId="3" borderId="33" xfId="0" applyFont="1" applyFill="1" applyBorder="1" applyAlignment="1">
      <alignment horizontal="center"/>
    </xf>
    <xf numFmtId="0" fontId="39" fillId="6" borderId="33" xfId="0" applyFont="1" applyFill="1" applyBorder="1" applyAlignment="1">
      <alignment horizontal="center"/>
    </xf>
    <xf numFmtId="0" fontId="39" fillId="6" borderId="1" xfId="0" applyFont="1" applyFill="1" applyBorder="1" applyAlignment="1">
      <alignment horizontal="center"/>
    </xf>
    <xf numFmtId="0" fontId="0" fillId="14" borderId="1" xfId="0" applyFill="1" applyBorder="1" applyAlignment="1">
      <alignment horizontal="center"/>
    </xf>
    <xf numFmtId="0" fontId="213" fillId="3" borderId="49" xfId="0" applyFont="1" applyFill="1" applyBorder="1" applyAlignment="1" applyProtection="1">
      <alignment horizontal="center"/>
      <protection locked="0"/>
    </xf>
    <xf numFmtId="0" fontId="213" fillId="3" borderId="81" xfId="0" applyFont="1" applyFill="1" applyBorder="1" applyAlignment="1" applyProtection="1">
      <alignment horizontal="center"/>
      <protection locked="0"/>
    </xf>
    <xf numFmtId="0" fontId="213" fillId="3" borderId="50" xfId="0" applyFont="1" applyFill="1" applyBorder="1" applyAlignment="1" applyProtection="1">
      <alignment horizontal="center"/>
      <protection locked="0"/>
    </xf>
    <xf numFmtId="0" fontId="0" fillId="0" borderId="0" xfId="0" applyAlignment="1" applyProtection="1">
      <alignment horizontal="center"/>
    </xf>
    <xf numFmtId="0" fontId="22" fillId="0" borderId="0" xfId="0" applyFont="1" applyProtection="1"/>
    <xf numFmtId="0" fontId="35" fillId="0" borderId="0" xfId="0" quotePrefix="1" applyFont="1" applyAlignment="1" applyProtection="1">
      <alignment horizontal="center"/>
    </xf>
    <xf numFmtId="0" fontId="6" fillId="0" borderId="0" xfId="0" applyFont="1" applyAlignment="1" applyProtection="1">
      <alignment horizontal="center" vertical="center"/>
    </xf>
    <xf numFmtId="0" fontId="6" fillId="0" borderId="0" xfId="0" quotePrefix="1" applyFont="1" applyAlignment="1" applyProtection="1">
      <alignment horizontal="center" vertical="center"/>
    </xf>
    <xf numFmtId="0" fontId="16" fillId="0" borderId="0" xfId="0" applyFont="1" applyAlignment="1" applyProtection="1">
      <alignment horizontal="right"/>
    </xf>
    <xf numFmtId="0" fontId="212" fillId="0" borderId="0" xfId="0" applyFont="1" applyAlignment="1" applyProtection="1">
      <alignment horizontal="right"/>
    </xf>
    <xf numFmtId="0" fontId="3" fillId="0" borderId="0" xfId="0" applyFont="1" applyAlignment="1" applyProtection="1">
      <alignment horizontal="right"/>
    </xf>
    <xf numFmtId="0" fontId="17" fillId="0" borderId="0" xfId="0" applyFont="1" applyAlignment="1" applyProtection="1">
      <alignment horizontal="center" vertical="center"/>
    </xf>
    <xf numFmtId="0" fontId="217" fillId="0" borderId="0" xfId="0" applyFont="1" applyAlignment="1" applyProtection="1">
      <alignment horizontal="center" vertical="center"/>
    </xf>
    <xf numFmtId="0" fontId="214" fillId="6" borderId="149" xfId="0" applyFont="1" applyFill="1" applyBorder="1" applyAlignment="1" applyProtection="1">
      <alignment horizontal="center" vertical="center"/>
    </xf>
    <xf numFmtId="0" fontId="214" fillId="6" borderId="150" xfId="0" applyFont="1" applyFill="1" applyBorder="1" applyAlignment="1" applyProtection="1">
      <alignment horizontal="center" vertical="center"/>
    </xf>
    <xf numFmtId="0" fontId="214" fillId="6" borderId="151" xfId="0" applyFont="1" applyFill="1" applyBorder="1" applyAlignment="1" applyProtection="1">
      <alignment horizontal="center" vertical="center"/>
    </xf>
    <xf numFmtId="0" fontId="3" fillId="0" borderId="12" xfId="0" applyFont="1" applyBorder="1" applyAlignment="1" applyProtection="1">
      <alignment horizontal="center"/>
    </xf>
    <xf numFmtId="0" fontId="3" fillId="0" borderId="153" xfId="0" quotePrefix="1" applyFont="1" applyBorder="1" applyAlignment="1" applyProtection="1">
      <alignment horizontal="center"/>
    </xf>
    <xf numFmtId="0" fontId="1" fillId="0" borderId="152" xfId="0" applyFont="1" applyBorder="1" applyAlignment="1" applyProtection="1">
      <alignment horizontal="center"/>
    </xf>
    <xf numFmtId="0" fontId="218" fillId="0" borderId="0" xfId="0" applyFont="1" applyProtection="1"/>
    <xf numFmtId="0" fontId="218" fillId="0" borderId="0" xfId="0" applyFont="1" applyAlignment="1" applyProtection="1">
      <alignment vertical="center"/>
    </xf>
    <xf numFmtId="0" fontId="219" fillId="0" borderId="0" xfId="0" applyFont="1" applyAlignment="1" applyProtection="1">
      <alignment horizontal="center"/>
    </xf>
    <xf numFmtId="3" fontId="1" fillId="0" borderId="0" xfId="0" applyNumberFormat="1" applyFont="1" applyProtection="1"/>
    <xf numFmtId="0" fontId="4" fillId="0" borderId="154" xfId="0" applyFont="1" applyBorder="1" applyAlignment="1" applyProtection="1">
      <alignment horizontal="center"/>
    </xf>
    <xf numFmtId="3" fontId="17" fillId="0" borderId="154" xfId="0" applyNumberFormat="1" applyFont="1" applyBorder="1" applyProtection="1"/>
    <xf numFmtId="0" fontId="220" fillId="6" borderId="0" xfId="0" applyFont="1" applyFill="1" applyAlignment="1" applyProtection="1">
      <alignment horizontal="center"/>
    </xf>
    <xf numFmtId="0" fontId="220" fillId="6" borderId="0" xfId="0" applyFont="1" applyFill="1" applyProtection="1"/>
    <xf numFmtId="49" fontId="1" fillId="0" borderId="0" xfId="0" applyNumberFormat="1" applyFont="1" applyProtection="1"/>
    <xf numFmtId="166" fontId="221" fillId="0" borderId="0" xfId="0" applyNumberFormat="1" applyFont="1" applyAlignment="1" applyProtection="1">
      <alignment horizontal="center"/>
    </xf>
    <xf numFmtId="0" fontId="222" fillId="0" borderId="0" xfId="0" applyFont="1"/>
    <xf numFmtId="0" fontId="5" fillId="0" borderId="0" xfId="0" applyFont="1" applyAlignment="1" applyProtection="1">
      <alignment horizontal="left"/>
    </xf>
    <xf numFmtId="174" fontId="39" fillId="22" borderId="0" xfId="0" applyNumberFormat="1" applyFont="1" applyFill="1" applyAlignment="1" applyProtection="1">
      <alignment horizontal="center" vertical="center"/>
    </xf>
    <xf numFmtId="0" fontId="225" fillId="7" borderId="28" xfId="0" applyFont="1" applyFill="1" applyBorder="1" applyAlignment="1">
      <alignment horizontal="center" vertical="center" wrapText="1"/>
    </xf>
    <xf numFmtId="0" fontId="226" fillId="7" borderId="0" xfId="0" applyFont="1" applyFill="1" applyBorder="1" applyAlignment="1">
      <alignment horizontal="center" vertical="center" wrapText="1"/>
    </xf>
    <xf numFmtId="0" fontId="227" fillId="7" borderId="165" xfId="0" applyFont="1" applyFill="1" applyBorder="1" applyAlignment="1">
      <alignment horizontal="center" vertical="center" wrapText="1"/>
    </xf>
    <xf numFmtId="0" fontId="227" fillId="7" borderId="0" xfId="0" applyFont="1" applyFill="1" applyBorder="1" applyAlignment="1">
      <alignment horizontal="center" vertical="center" wrapText="1"/>
    </xf>
    <xf numFmtId="0" fontId="227" fillId="7" borderId="17" xfId="0" applyFont="1" applyFill="1" applyBorder="1" applyAlignment="1">
      <alignment horizontal="center" vertical="center" wrapText="1"/>
    </xf>
    <xf numFmtId="0" fontId="227" fillId="7" borderId="25" xfId="0" applyFont="1" applyFill="1" applyBorder="1" applyAlignment="1">
      <alignment horizontal="center" vertical="center" wrapText="1"/>
    </xf>
    <xf numFmtId="0" fontId="66" fillId="6" borderId="54" xfId="0" applyFont="1" applyFill="1" applyBorder="1" applyAlignment="1">
      <alignment horizontal="center" vertical="center" wrapText="1"/>
    </xf>
    <xf numFmtId="0" fontId="68" fillId="6" borderId="166" xfId="0" applyFont="1" applyFill="1" applyBorder="1" applyAlignment="1">
      <alignment horizontal="center" vertical="center" wrapText="1"/>
    </xf>
    <xf numFmtId="0" fontId="216" fillId="6" borderId="167" xfId="0" applyFont="1" applyFill="1" applyBorder="1" applyAlignment="1">
      <alignment horizontal="center" vertical="center" wrapText="1"/>
    </xf>
    <xf numFmtId="0" fontId="216" fillId="6" borderId="166" xfId="0" applyFont="1" applyFill="1" applyBorder="1" applyAlignment="1">
      <alignment horizontal="center" vertical="center" wrapText="1"/>
    </xf>
    <xf numFmtId="0" fontId="66" fillId="6" borderId="168" xfId="0" applyFont="1" applyFill="1" applyBorder="1" applyAlignment="1">
      <alignment horizontal="center" vertical="center" wrapText="1"/>
    </xf>
    <xf numFmtId="0" fontId="66" fillId="6" borderId="167" xfId="0" applyFont="1" applyFill="1" applyBorder="1" applyAlignment="1">
      <alignment horizontal="center" vertical="center" wrapText="1"/>
    </xf>
    <xf numFmtId="0" fontId="66" fillId="6" borderId="169" xfId="0" applyFont="1" applyFill="1" applyBorder="1" applyAlignment="1">
      <alignment horizontal="center" vertical="center" wrapText="1"/>
    </xf>
    <xf numFmtId="0" fontId="228" fillId="0" borderId="0" xfId="0" applyFont="1"/>
    <xf numFmtId="0" fontId="230" fillId="0" borderId="0" xfId="0" quotePrefix="1" applyFont="1" applyAlignment="1" applyProtection="1">
      <alignment horizontal="center"/>
    </xf>
    <xf numFmtId="0" fontId="230" fillId="0" borderId="0" xfId="0" applyFont="1" applyAlignment="1" applyProtection="1">
      <alignment horizontal="center"/>
    </xf>
    <xf numFmtId="0" fontId="12" fillId="0" borderId="0" xfId="0" applyFont="1" applyAlignment="1" applyProtection="1">
      <alignment horizontal="left"/>
    </xf>
    <xf numFmtId="0" fontId="12" fillId="0" borderId="12" xfId="0" applyFont="1" applyBorder="1" applyAlignment="1" applyProtection="1">
      <alignment horizontal="left"/>
    </xf>
    <xf numFmtId="0" fontId="122" fillId="2" borderId="155" xfId="0" applyFont="1" applyFill="1" applyBorder="1" applyAlignment="1" applyProtection="1">
      <alignment horizontal="center" vertical="center"/>
    </xf>
    <xf numFmtId="0" fontId="4" fillId="2" borderId="172" xfId="0" applyFont="1" applyFill="1" applyBorder="1" applyAlignment="1">
      <alignment horizontal="center" vertical="center"/>
    </xf>
    <xf numFmtId="0" fontId="229" fillId="0" borderId="173" xfId="0" applyFont="1" applyBorder="1" applyAlignment="1">
      <alignment horizontal="center"/>
    </xf>
    <xf numFmtId="0" fontId="229" fillId="0" borderId="174" xfId="0" applyFont="1" applyBorder="1" applyAlignment="1">
      <alignment horizontal="center"/>
    </xf>
    <xf numFmtId="0" fontId="229" fillId="0" borderId="175" xfId="0" applyFont="1" applyBorder="1" applyAlignment="1">
      <alignment horizontal="center"/>
    </xf>
    <xf numFmtId="164" fontId="1" fillId="0" borderId="65" xfId="0" applyNumberFormat="1" applyFont="1" applyBorder="1" applyAlignment="1">
      <alignment horizontal="center"/>
    </xf>
    <xf numFmtId="2" fontId="4" fillId="0" borderId="176" xfId="0" applyNumberFormat="1" applyFont="1" applyBorder="1" applyAlignment="1">
      <alignment horizontal="center"/>
    </xf>
    <xf numFmtId="164" fontId="1" fillId="0" borderId="67" xfId="0" applyNumberFormat="1" applyFont="1" applyBorder="1" applyAlignment="1">
      <alignment horizontal="center"/>
    </xf>
    <xf numFmtId="164" fontId="1" fillId="3" borderId="67" xfId="0" applyNumberFormat="1" applyFont="1" applyFill="1" applyBorder="1" applyAlignment="1">
      <alignment horizontal="center"/>
    </xf>
    <xf numFmtId="164" fontId="1" fillId="0" borderId="69" xfId="0" applyNumberFormat="1" applyFont="1" applyBorder="1" applyAlignment="1">
      <alignment horizontal="center"/>
    </xf>
    <xf numFmtId="164" fontId="1" fillId="0" borderId="58" xfId="0" applyNumberFormat="1" applyFont="1" applyBorder="1" applyAlignment="1">
      <alignment horizontal="center"/>
    </xf>
    <xf numFmtId="165" fontId="4" fillId="7" borderId="177" xfId="0" applyNumberFormat="1" applyFont="1" applyFill="1" applyBorder="1" applyAlignment="1">
      <alignment horizontal="center"/>
    </xf>
    <xf numFmtId="2" fontId="4" fillId="0" borderId="178" xfId="0" applyNumberFormat="1" applyFont="1" applyBorder="1" applyAlignment="1">
      <alignment horizontal="center"/>
    </xf>
    <xf numFmtId="2" fontId="4" fillId="0" borderId="179" xfId="0" applyNumberFormat="1" applyFont="1" applyBorder="1" applyAlignment="1">
      <alignment horizontal="center"/>
    </xf>
    <xf numFmtId="0" fontId="4" fillId="6" borderId="60" xfId="0" applyFont="1" applyFill="1" applyBorder="1" applyAlignment="1">
      <alignment horizontal="center" vertical="center"/>
    </xf>
    <xf numFmtId="0" fontId="4" fillId="6" borderId="180" xfId="0" applyFont="1" applyFill="1" applyBorder="1" applyAlignment="1">
      <alignment horizontal="center" vertical="center"/>
    </xf>
    <xf numFmtId="0" fontId="4" fillId="6" borderId="62" xfId="0" applyFont="1" applyFill="1" applyBorder="1" applyAlignment="1">
      <alignment horizontal="center" vertical="center"/>
    </xf>
    <xf numFmtId="174" fontId="235" fillId="0" borderId="0" xfId="0" quotePrefix="1" applyNumberFormat="1" applyFont="1" applyAlignment="1" applyProtection="1">
      <alignment horizontal="center"/>
    </xf>
    <xf numFmtId="171" fontId="1" fillId="0" borderId="0" xfId="0" applyNumberFormat="1" applyFont="1" applyAlignment="1" applyProtection="1">
      <alignment horizontal="center"/>
    </xf>
    <xf numFmtId="0" fontId="4" fillId="0" borderId="0" xfId="0" applyFont="1" applyAlignment="1" applyProtection="1">
      <alignment horizontal="left" vertical="center"/>
    </xf>
    <xf numFmtId="3" fontId="16" fillId="0" borderId="0" xfId="0" applyNumberFormat="1" applyFont="1" applyAlignment="1" applyProtection="1">
      <alignment horizontal="right"/>
    </xf>
    <xf numFmtId="169" fontId="220" fillId="6" borderId="0" xfId="0" applyNumberFormat="1" applyFont="1" applyFill="1" applyAlignment="1" applyProtection="1">
      <alignment horizontal="center"/>
    </xf>
    <xf numFmtId="171" fontId="17" fillId="4" borderId="50" xfId="0" applyNumberFormat="1" applyFont="1" applyFill="1" applyBorder="1" applyAlignment="1" applyProtection="1">
      <alignment horizontal="center"/>
    </xf>
    <xf numFmtId="0" fontId="1" fillId="0" borderId="173" xfId="0" applyFont="1" applyBorder="1" applyAlignment="1">
      <alignment horizontal="center"/>
    </xf>
    <xf numFmtId="0" fontId="1" fillId="3" borderId="82" xfId="0" applyFont="1" applyFill="1" applyBorder="1" applyAlignment="1">
      <alignment horizontal="center"/>
    </xf>
    <xf numFmtId="0" fontId="1" fillId="0" borderId="174" xfId="0" applyFont="1" applyBorder="1" applyAlignment="1">
      <alignment horizontal="center"/>
    </xf>
    <xf numFmtId="0" fontId="1" fillId="0" borderId="175" xfId="0" applyFont="1" applyBorder="1" applyAlignment="1">
      <alignment horizontal="center"/>
    </xf>
    <xf numFmtId="0" fontId="4" fillId="2" borderId="181" xfId="0" applyFont="1" applyFill="1" applyBorder="1" applyAlignment="1">
      <alignment horizontal="center" vertical="center"/>
    </xf>
    <xf numFmtId="0" fontId="4" fillId="2" borderId="182" xfId="0" applyFont="1" applyFill="1" applyBorder="1" applyAlignment="1">
      <alignment horizontal="center" vertical="center"/>
    </xf>
    <xf numFmtId="0" fontId="4" fillId="2" borderId="183" xfId="0" applyFont="1" applyFill="1" applyBorder="1" applyAlignment="1">
      <alignment horizontal="center" vertical="center"/>
    </xf>
    <xf numFmtId="2" fontId="4" fillId="3" borderId="176" xfId="0" applyNumberFormat="1" applyFont="1" applyFill="1" applyBorder="1" applyAlignment="1">
      <alignment horizontal="center"/>
    </xf>
    <xf numFmtId="175" fontId="16" fillId="0" borderId="12" xfId="2" applyNumberFormat="1" applyFont="1" applyBorder="1" applyAlignment="1" applyProtection="1">
      <alignment horizontal="center"/>
    </xf>
    <xf numFmtId="0" fontId="19" fillId="0" borderId="12" xfId="0" applyFont="1" applyBorder="1" applyProtection="1"/>
    <xf numFmtId="0" fontId="1" fillId="0" borderId="12" xfId="0" applyFont="1" applyBorder="1" applyProtection="1"/>
    <xf numFmtId="0" fontId="111" fillId="2" borderId="156" xfId="0" applyFont="1" applyFill="1" applyBorder="1" applyAlignment="1" applyProtection="1">
      <alignment horizontal="right" vertical="center"/>
    </xf>
    <xf numFmtId="169" fontId="34" fillId="2" borderId="156" xfId="0" applyNumberFormat="1" applyFont="1" applyFill="1" applyBorder="1" applyAlignment="1" applyProtection="1">
      <alignment horizontal="center" vertical="center"/>
    </xf>
    <xf numFmtId="0" fontId="4" fillId="0" borderId="0" xfId="0" applyFont="1" applyAlignment="1" applyProtection="1">
      <alignment horizontal="center" vertical="center" wrapText="1"/>
    </xf>
    <xf numFmtId="0" fontId="229" fillId="0" borderId="0" xfId="0" applyFont="1" applyProtection="1"/>
    <xf numFmtId="0" fontId="233" fillId="0" borderId="0" xfId="0" applyFont="1" applyAlignment="1" applyProtection="1">
      <alignment horizontal="left"/>
    </xf>
    <xf numFmtId="0" fontId="6" fillId="0" borderId="0" xfId="0" applyFont="1" applyAlignment="1" applyProtection="1">
      <alignment horizontal="left"/>
    </xf>
    <xf numFmtId="0" fontId="1" fillId="0" borderId="0" xfId="0" applyFont="1" applyAlignment="1" applyProtection="1">
      <alignment horizontal="center"/>
    </xf>
    <xf numFmtId="0" fontId="0" fillId="0" borderId="0" xfId="0" applyAlignment="1" applyProtection="1">
      <alignment vertical="center"/>
    </xf>
    <xf numFmtId="0" fontId="6" fillId="0" borderId="0" xfId="0" applyFont="1" applyAlignment="1" applyProtection="1">
      <alignment horizontal="right" indent="2"/>
    </xf>
    <xf numFmtId="3" fontId="34" fillId="0" borderId="184" xfId="0" applyNumberFormat="1" applyFont="1" applyBorder="1" applyAlignment="1" applyProtection="1">
      <alignment horizontal="center"/>
    </xf>
    <xf numFmtId="0" fontId="4" fillId="0" borderId="48" xfId="0" applyFont="1" applyBorder="1" applyAlignment="1" applyProtection="1">
      <alignment horizontal="center" vertical="center"/>
    </xf>
    <xf numFmtId="0" fontId="237" fillId="2" borderId="157" xfId="0" applyFont="1" applyFill="1" applyBorder="1" applyAlignment="1" applyProtection="1">
      <alignment horizontal="center" vertical="center"/>
    </xf>
    <xf numFmtId="0" fontId="34" fillId="3" borderId="0" xfId="0" applyFont="1" applyFill="1" applyAlignment="1" applyProtection="1">
      <alignment horizontal="center" vertical="center"/>
      <protection locked="0"/>
    </xf>
    <xf numFmtId="0" fontId="35" fillId="3" borderId="0" xfId="0" applyFont="1" applyFill="1" applyAlignment="1" applyProtection="1">
      <alignment horizontal="center" vertical="center"/>
      <protection locked="0"/>
    </xf>
    <xf numFmtId="176" fontId="6" fillId="0" borderId="0" xfId="2" applyNumberFormat="1" applyFont="1" applyAlignment="1" applyProtection="1">
      <alignment horizontal="center"/>
    </xf>
    <xf numFmtId="0" fontId="239" fillId="0" borderId="0" xfId="0" applyFont="1" applyFill="1" applyBorder="1" applyAlignment="1" applyProtection="1">
      <alignment horizontal="left" vertical="center"/>
    </xf>
    <xf numFmtId="0" fontId="241" fillId="0" borderId="12" xfId="0" applyFont="1" applyBorder="1" applyAlignment="1" applyProtection="1">
      <alignment horizontal="center"/>
    </xf>
    <xf numFmtId="49" fontId="25" fillId="0" borderId="32" xfId="0" applyNumberFormat="1" applyFont="1" applyFill="1" applyBorder="1" applyAlignment="1">
      <alignment horizontal="center"/>
    </xf>
    <xf numFmtId="0" fontId="113" fillId="0" borderId="0" xfId="0" applyFont="1" applyProtection="1"/>
    <xf numFmtId="0" fontId="242" fillId="0" borderId="0" xfId="0" applyFont="1" applyProtection="1"/>
    <xf numFmtId="0" fontId="1" fillId="23" borderId="0" xfId="0" applyFont="1" applyFill="1" applyProtection="1"/>
    <xf numFmtId="0" fontId="242" fillId="23" borderId="0" xfId="0" applyFont="1" applyFill="1" applyProtection="1"/>
    <xf numFmtId="0" fontId="1" fillId="23" borderId="0" xfId="0" applyFont="1" applyFill="1" applyAlignment="1" applyProtection="1">
      <alignment horizontal="center"/>
    </xf>
    <xf numFmtId="0" fontId="239" fillId="22" borderId="86" xfId="0" applyFont="1" applyFill="1" applyBorder="1" applyProtection="1"/>
    <xf numFmtId="177" fontId="6" fillId="2" borderId="0" xfId="0" applyNumberFormat="1" applyFont="1" applyFill="1" applyAlignment="1" applyProtection="1">
      <alignment horizontal="center"/>
    </xf>
    <xf numFmtId="169" fontId="17" fillId="2" borderId="156" xfId="0" applyNumberFormat="1" applyFont="1" applyFill="1" applyBorder="1" applyAlignment="1" applyProtection="1">
      <alignment horizontal="center" vertical="center"/>
    </xf>
    <xf numFmtId="0" fontId="245" fillId="0" borderId="0" xfId="0" applyFont="1" applyProtection="1"/>
    <xf numFmtId="0" fontId="34" fillId="4" borderId="49" xfId="0" applyFont="1" applyFill="1" applyBorder="1" applyAlignment="1" applyProtection="1">
      <alignment horizontal="right" indent="2"/>
    </xf>
    <xf numFmtId="0" fontId="246" fillId="0" borderId="0" xfId="0" applyFont="1" applyProtection="1"/>
    <xf numFmtId="0" fontId="249" fillId="0" borderId="0" xfId="0" applyFont="1" applyProtection="1"/>
    <xf numFmtId="0" fontId="251" fillId="0" borderId="0" xfId="0" applyFont="1" applyAlignment="1" applyProtection="1">
      <alignment horizontal="center"/>
    </xf>
    <xf numFmtId="0" fontId="29" fillId="0" borderId="0" xfId="0" applyFont="1" applyAlignment="1" applyProtection="1">
      <alignment horizontal="right"/>
    </xf>
    <xf numFmtId="0" fontId="244" fillId="0" borderId="0" xfId="0" applyFont="1" applyProtection="1"/>
    <xf numFmtId="0" fontId="213" fillId="3" borderId="185" xfId="0" applyFont="1" applyFill="1" applyBorder="1" applyAlignment="1" applyProtection="1">
      <alignment horizontal="center"/>
      <protection locked="0"/>
    </xf>
    <xf numFmtId="0" fontId="214" fillId="6" borderId="185" xfId="0" applyFont="1" applyFill="1" applyBorder="1" applyAlignment="1" applyProtection="1">
      <alignment horizontal="center" vertical="center"/>
    </xf>
    <xf numFmtId="0" fontId="253" fillId="0" borderId="0" xfId="0" applyFont="1" applyAlignment="1" applyProtection="1">
      <alignment horizontal="center" vertical="center"/>
    </xf>
    <xf numFmtId="0" fontId="252" fillId="0" borderId="0" xfId="0" applyFont="1" applyAlignment="1" applyProtection="1">
      <alignment horizontal="right"/>
    </xf>
    <xf numFmtId="0" fontId="248" fillId="0" borderId="0" xfId="0" applyFont="1" applyAlignment="1" applyProtection="1">
      <alignment horizontal="center" vertical="center"/>
    </xf>
    <xf numFmtId="0" fontId="34" fillId="6" borderId="0" xfId="0" applyFont="1" applyFill="1" applyAlignment="1" applyProtection="1">
      <alignment horizontal="center" vertical="center"/>
    </xf>
    <xf numFmtId="0" fontId="247" fillId="0" borderId="0" xfId="0" applyFont="1" applyAlignment="1" applyProtection="1">
      <alignment horizontal="center" vertical="center"/>
    </xf>
    <xf numFmtId="0" fontId="247" fillId="0" borderId="0" xfId="0" applyFont="1" applyAlignment="1" applyProtection="1">
      <alignment horizontal="center"/>
    </xf>
    <xf numFmtId="0" fontId="6" fillId="0" borderId="0" xfId="0" applyFont="1" applyAlignment="1" applyProtection="1">
      <alignment vertical="center"/>
    </xf>
    <xf numFmtId="0" fontId="254" fillId="0" borderId="0" xfId="0" applyFont="1" applyAlignment="1" applyProtection="1">
      <alignment horizontal="center" vertical="center"/>
    </xf>
    <xf numFmtId="0" fontId="122" fillId="0" borderId="0" xfId="0" applyFont="1" applyAlignment="1" applyProtection="1">
      <alignment horizontal="center"/>
    </xf>
    <xf numFmtId="0" fontId="255" fillId="0" borderId="0" xfId="0" applyFont="1" applyProtection="1"/>
    <xf numFmtId="0" fontId="258" fillId="0" borderId="0" xfId="0" applyFont="1" applyProtection="1"/>
    <xf numFmtId="0" fontId="258" fillId="0" borderId="0" xfId="0" applyFont="1" applyAlignment="1" applyProtection="1">
      <alignment vertical="center"/>
    </xf>
    <xf numFmtId="0" fontId="30" fillId="6" borderId="33" xfId="0" applyFont="1" applyFill="1" applyBorder="1" applyAlignment="1" applyProtection="1">
      <alignment horizontal="center" vertical="center"/>
    </xf>
    <xf numFmtId="0" fontId="237" fillId="0" borderId="0" xfId="0" applyFont="1" applyAlignment="1" applyProtection="1">
      <alignment horizontal="center"/>
    </xf>
    <xf numFmtId="0" fontId="1" fillId="0" borderId="186" xfId="0" applyFont="1" applyBorder="1" applyProtection="1"/>
    <xf numFmtId="0" fontId="166" fillId="0" borderId="0" xfId="0" quotePrefix="1" applyFont="1" applyAlignment="1" applyProtection="1">
      <alignment horizontal="center"/>
    </xf>
    <xf numFmtId="0" fontId="261" fillId="6" borderId="154" xfId="0" applyFont="1" applyFill="1" applyBorder="1" applyAlignment="1" applyProtection="1">
      <alignment horizontal="center" vertical="center"/>
    </xf>
    <xf numFmtId="0" fontId="262" fillId="6" borderId="154" xfId="0" applyFont="1" applyFill="1" applyBorder="1" applyAlignment="1" applyProtection="1">
      <alignment horizontal="center" vertical="center"/>
    </xf>
    <xf numFmtId="0" fontId="5" fillId="22" borderId="0" xfId="0" applyFont="1" applyFill="1" applyBorder="1" applyAlignment="1" applyProtection="1">
      <alignment horizontal="left"/>
    </xf>
    <xf numFmtId="171" fontId="113" fillId="0" borderId="0" xfId="0" applyNumberFormat="1" applyFont="1" applyAlignment="1" applyProtection="1">
      <alignment horizontal="left"/>
    </xf>
    <xf numFmtId="0" fontId="4" fillId="0" borderId="0" xfId="0" applyFont="1" applyAlignment="1" applyProtection="1">
      <alignment horizontal="right" vertical="center"/>
    </xf>
    <xf numFmtId="0" fontId="4" fillId="0" borderId="0" xfId="0" applyFont="1" applyAlignment="1" applyProtection="1">
      <alignment horizontal="right" vertical="center" indent="1"/>
    </xf>
    <xf numFmtId="0" fontId="16" fillId="0" borderId="0" xfId="0" applyFont="1" applyAlignment="1" applyProtection="1">
      <alignment horizontal="right" vertical="center"/>
    </xf>
    <xf numFmtId="171" fontId="267" fillId="0" borderId="0" xfId="0" applyNumberFormat="1" applyFont="1" applyAlignment="1" applyProtection="1">
      <alignment horizontal="left"/>
    </xf>
    <xf numFmtId="0" fontId="265" fillId="6" borderId="0" xfId="0" applyFont="1" applyFill="1" applyAlignment="1" applyProtection="1">
      <alignment vertical="center"/>
    </xf>
    <xf numFmtId="0" fontId="270" fillId="0" borderId="0" xfId="0" applyFont="1" applyProtection="1"/>
    <xf numFmtId="0" fontId="271" fillId="0" borderId="187" xfId="0" applyFont="1" applyBorder="1" applyAlignment="1" applyProtection="1">
      <alignment horizontal="center" vertical="center"/>
    </xf>
    <xf numFmtId="0" fontId="272" fillId="22" borderId="0" xfId="0" applyFont="1" applyFill="1" applyBorder="1" applyAlignment="1" applyProtection="1">
      <alignment horizontal="left"/>
    </xf>
    <xf numFmtId="0" fontId="273" fillId="22" borderId="0" xfId="0" applyFont="1" applyFill="1" applyBorder="1" applyProtection="1"/>
    <xf numFmtId="0" fontId="168" fillId="22" borderId="0" xfId="0" applyFont="1" applyFill="1" applyBorder="1" applyProtection="1"/>
    <xf numFmtId="0" fontId="275" fillId="0" borderId="0" xfId="0" applyFont="1" applyProtection="1"/>
    <xf numFmtId="2" fontId="3" fillId="22" borderId="0" xfId="0" applyNumberFormat="1" applyFont="1" applyFill="1" applyBorder="1" applyAlignment="1" applyProtection="1">
      <alignment horizontal="right"/>
    </xf>
    <xf numFmtId="0" fontId="1" fillId="0" borderId="188" xfId="0" applyFont="1" applyBorder="1" applyAlignment="1">
      <alignment horizontal="left" vertical="center" indent="1"/>
    </xf>
    <xf numFmtId="0" fontId="9" fillId="0" borderId="190" xfId="0" applyFont="1" applyBorder="1" applyAlignment="1">
      <alignment horizontal="center"/>
    </xf>
    <xf numFmtId="0" fontId="9" fillId="0" borderId="191" xfId="0" applyFont="1" applyBorder="1" applyAlignment="1">
      <alignment horizontal="center"/>
    </xf>
    <xf numFmtId="0" fontId="9" fillId="0" borderId="192" xfId="0" applyFont="1" applyBorder="1" applyAlignment="1">
      <alignment horizontal="center"/>
    </xf>
    <xf numFmtId="0" fontId="9" fillId="0" borderId="189" xfId="0" applyFont="1" applyBorder="1" applyAlignment="1">
      <alignment horizontal="center"/>
    </xf>
    <xf numFmtId="0" fontId="278" fillId="0" borderId="12" xfId="0" applyFont="1" applyBorder="1" applyAlignment="1">
      <alignment horizontal="left" indent="2"/>
    </xf>
    <xf numFmtId="0" fontId="25" fillId="0" borderId="10" xfId="0" applyFont="1" applyBorder="1" applyAlignment="1">
      <alignment horizontal="left" vertical="center" indent="1"/>
    </xf>
    <xf numFmtId="0" fontId="279" fillId="13" borderId="1" xfId="0" applyFont="1" applyFill="1" applyBorder="1" applyAlignment="1">
      <alignment horizontal="center" vertical="center"/>
    </xf>
    <xf numFmtId="0" fontId="279" fillId="13" borderId="3" xfId="0" applyFont="1" applyFill="1" applyBorder="1" applyAlignment="1">
      <alignment horizontal="center" vertical="center"/>
    </xf>
    <xf numFmtId="0" fontId="2" fillId="0" borderId="0" xfId="0" applyFont="1" applyAlignment="1" applyProtection="1">
      <alignment horizontal="right"/>
    </xf>
    <xf numFmtId="0" fontId="29" fillId="0" borderId="0" xfId="0" applyFont="1" applyAlignment="1" applyProtection="1">
      <alignment vertical="center"/>
    </xf>
    <xf numFmtId="0" fontId="1" fillId="6" borderId="0" xfId="0" applyFont="1" applyFill="1" applyAlignment="1"/>
    <xf numFmtId="0" fontId="0" fillId="0" borderId="0" xfId="0" applyAlignment="1"/>
    <xf numFmtId="49" fontId="1" fillId="0" borderId="17" xfId="0" applyNumberFormat="1" applyFont="1" applyBorder="1" applyAlignment="1">
      <alignment horizontal="center" vertical="center"/>
    </xf>
    <xf numFmtId="49" fontId="0" fillId="0" borderId="0" xfId="0" applyNumberFormat="1" applyBorder="1" applyAlignment="1">
      <alignment horizontal="center" vertical="center"/>
    </xf>
    <xf numFmtId="49" fontId="0" fillId="0" borderId="25" xfId="0" applyNumberFormat="1" applyBorder="1" applyAlignment="1">
      <alignment horizontal="center" vertical="center"/>
    </xf>
    <xf numFmtId="49" fontId="1" fillId="0" borderId="9" xfId="0" applyNumberFormat="1" applyFont="1" applyBorder="1" applyAlignment="1">
      <alignment horizontal="center" vertical="center"/>
    </xf>
    <xf numFmtId="49" fontId="0" fillId="0" borderId="10" xfId="0" applyNumberFormat="1" applyBorder="1" applyAlignment="1">
      <alignment horizontal="center" vertical="center"/>
    </xf>
    <xf numFmtId="49" fontId="1" fillId="0" borderId="16" xfId="0" applyNumberFormat="1" applyFont="1" applyBorder="1" applyAlignment="1">
      <alignment horizontal="left" indent="5"/>
    </xf>
    <xf numFmtId="49" fontId="0" fillId="0" borderId="5" xfId="0" applyNumberFormat="1" applyBorder="1" applyAlignment="1">
      <alignment horizontal="left" indent="5"/>
    </xf>
    <xf numFmtId="49" fontId="0" fillId="0" borderId="24" xfId="0" applyNumberFormat="1" applyBorder="1" applyAlignment="1">
      <alignment horizontal="left" indent="5"/>
    </xf>
    <xf numFmtId="0" fontId="1" fillId="0" borderId="15" xfId="0" applyFont="1" applyBorder="1" applyAlignment="1">
      <alignment horizontal="center" vertical="center"/>
    </xf>
    <xf numFmtId="0" fontId="0" fillId="0" borderId="6" xfId="0" applyBorder="1" applyAlignment="1">
      <alignment horizontal="center" vertical="center"/>
    </xf>
    <xf numFmtId="0" fontId="0" fillId="0" borderId="30" xfId="0"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0" fillId="0" borderId="4" xfId="0" applyBorder="1" applyAlignment="1">
      <alignment horizontal="center" vertical="center"/>
    </xf>
    <xf numFmtId="49" fontId="1" fillId="0" borderId="17" xfId="0" applyNumberFormat="1" applyFont="1" applyBorder="1" applyAlignment="1">
      <alignment horizontal="left" vertical="center" indent="5"/>
    </xf>
    <xf numFmtId="49" fontId="0" fillId="0" borderId="0" xfId="0" applyNumberFormat="1" applyBorder="1" applyAlignment="1">
      <alignment horizontal="left" vertical="center" indent="5"/>
    </xf>
    <xf numFmtId="49" fontId="0" fillId="0" borderId="25" xfId="0" applyNumberFormat="1" applyBorder="1" applyAlignment="1">
      <alignment horizontal="left" vertical="center" indent="5"/>
    </xf>
    <xf numFmtId="49" fontId="1" fillId="0" borderId="9" xfId="0" applyNumberFormat="1" applyFont="1" applyBorder="1" applyAlignment="1">
      <alignment horizontal="left" vertical="center" indent="5"/>
    </xf>
    <xf numFmtId="0" fontId="1" fillId="0" borderId="11" xfId="0" applyFont="1" applyBorder="1" applyAlignment="1">
      <alignment horizontal="center" vertical="center"/>
    </xf>
    <xf numFmtId="0" fontId="0" fillId="0" borderId="12" xfId="0" applyBorder="1" applyAlignment="1">
      <alignment horizontal="center" vertical="center"/>
    </xf>
    <xf numFmtId="0" fontId="0" fillId="0" borderId="26" xfId="0" applyBorder="1" applyAlignment="1">
      <alignment horizontal="center" vertical="center"/>
    </xf>
    <xf numFmtId="49" fontId="1" fillId="0" borderId="17" xfId="0" applyNumberFormat="1" applyFont="1" applyBorder="1" applyAlignment="1">
      <alignment horizontal="left" vertical="center" indent="1"/>
    </xf>
    <xf numFmtId="49" fontId="0" fillId="0" borderId="0" xfId="0" applyNumberFormat="1" applyBorder="1" applyAlignment="1">
      <alignment horizontal="left" vertical="center" indent="1"/>
    </xf>
    <xf numFmtId="49" fontId="0" fillId="0" borderId="25" xfId="0" applyNumberFormat="1" applyBorder="1" applyAlignment="1">
      <alignment horizontal="left" vertical="center" indent="1"/>
    </xf>
    <xf numFmtId="49" fontId="1" fillId="0" borderId="0" xfId="0" applyNumberFormat="1" applyFont="1" applyBorder="1" applyAlignment="1">
      <alignment horizontal="left" vertical="center" indent="1"/>
    </xf>
    <xf numFmtId="49" fontId="0" fillId="0" borderId="10" xfId="0" applyNumberFormat="1" applyBorder="1" applyAlignment="1">
      <alignment horizontal="left" vertical="center" indent="1"/>
    </xf>
    <xf numFmtId="49" fontId="25" fillId="0" borderId="17" xfId="0" applyNumberFormat="1" applyFont="1" applyBorder="1" applyAlignment="1">
      <alignment horizontal="left" vertical="center" indent="5"/>
    </xf>
    <xf numFmtId="49" fontId="31" fillId="0" borderId="0" xfId="0" applyNumberFormat="1" applyFont="1" applyBorder="1" applyAlignment="1">
      <alignment horizontal="left" vertical="center" indent="5"/>
    </xf>
    <xf numFmtId="49" fontId="31" fillId="0" borderId="25" xfId="0" applyNumberFormat="1" applyFont="1" applyBorder="1" applyAlignment="1">
      <alignment horizontal="left" vertical="center" indent="5"/>
    </xf>
    <xf numFmtId="49" fontId="25" fillId="0" borderId="0" xfId="0" applyNumberFormat="1" applyFont="1" applyBorder="1" applyAlignment="1">
      <alignment horizontal="left" vertical="center" indent="1"/>
    </xf>
    <xf numFmtId="49" fontId="31" fillId="0" borderId="10" xfId="0" applyNumberFormat="1" applyFont="1" applyBorder="1" applyAlignment="1">
      <alignment horizontal="left" vertical="center" indent="1"/>
    </xf>
    <xf numFmtId="49" fontId="25" fillId="0" borderId="16" xfId="0" applyNumberFormat="1" applyFont="1" applyBorder="1" applyAlignment="1">
      <alignment horizontal="left" vertical="center" indent="1"/>
    </xf>
    <xf numFmtId="49" fontId="31" fillId="0" borderId="5" xfId="0" applyNumberFormat="1" applyFont="1" applyBorder="1" applyAlignment="1">
      <alignment horizontal="left" vertical="center" indent="1"/>
    </xf>
    <xf numFmtId="49" fontId="31" fillId="0" borderId="24" xfId="0" applyNumberFormat="1" applyFont="1" applyBorder="1" applyAlignment="1">
      <alignment horizontal="left" vertical="center" indent="1"/>
    </xf>
    <xf numFmtId="49" fontId="1" fillId="0" borderId="5" xfId="0" applyNumberFormat="1" applyFont="1" applyBorder="1" applyAlignment="1">
      <alignment horizontal="left" indent="1"/>
    </xf>
    <xf numFmtId="49" fontId="0" fillId="0" borderId="8" xfId="0" applyNumberFormat="1" applyBorder="1" applyAlignment="1">
      <alignment horizontal="left" indent="1"/>
    </xf>
    <xf numFmtId="49" fontId="1" fillId="0" borderId="7" xfId="0" applyNumberFormat="1" applyFont="1" applyBorder="1" applyAlignment="1">
      <alignment horizontal="left" indent="5"/>
    </xf>
    <xf numFmtId="49" fontId="25" fillId="0" borderId="9" xfId="0" applyNumberFormat="1" applyFont="1" applyBorder="1" applyAlignment="1">
      <alignment horizontal="left" vertical="center" indent="5"/>
    </xf>
    <xf numFmtId="49" fontId="1" fillId="0" borderId="51" xfId="0" applyNumberFormat="1" applyFont="1" applyBorder="1" applyAlignment="1">
      <alignment horizontal="left" vertical="center" indent="1"/>
    </xf>
    <xf numFmtId="49" fontId="0" fillId="0" borderId="52" xfId="0" applyNumberFormat="1" applyBorder="1" applyAlignment="1">
      <alignment horizontal="left" vertical="center" indent="1"/>
    </xf>
    <xf numFmtId="49" fontId="0" fillId="0" borderId="53" xfId="0" applyNumberFormat="1" applyBorder="1" applyAlignment="1">
      <alignment horizontal="left" vertical="center" indent="1"/>
    </xf>
    <xf numFmtId="0" fontId="1" fillId="4" borderId="15" xfId="0" applyFont="1" applyFill="1" applyBorder="1" applyAlignment="1">
      <alignment horizontal="center" vertical="center"/>
    </xf>
    <xf numFmtId="0" fontId="0" fillId="0" borderId="4" xfId="0" applyFont="1" applyBorder="1" applyAlignment="1">
      <alignment horizontal="center" vertical="center"/>
    </xf>
    <xf numFmtId="0" fontId="2" fillId="0" borderId="16" xfId="0" applyFont="1" applyFill="1" applyBorder="1" applyAlignment="1">
      <alignment horizontal="left" indent="2"/>
    </xf>
    <xf numFmtId="0" fontId="180" fillId="0" borderId="8" xfId="0" applyFont="1" applyBorder="1" applyAlignment="1">
      <alignment horizontal="left" indent="2"/>
    </xf>
    <xf numFmtId="0" fontId="2" fillId="0" borderId="17" xfId="0" applyFont="1" applyFill="1" applyBorder="1" applyAlignment="1">
      <alignment horizontal="left" indent="2"/>
    </xf>
    <xf numFmtId="0" fontId="180" fillId="0" borderId="10" xfId="0" applyFont="1" applyBorder="1" applyAlignment="1">
      <alignment horizontal="left" indent="2"/>
    </xf>
    <xf numFmtId="0" fontId="1" fillId="0" borderId="17" xfId="0" applyFont="1" applyFill="1" applyBorder="1" applyAlignment="1">
      <alignment horizontal="left" indent="2"/>
    </xf>
    <xf numFmtId="0" fontId="0" fillId="0" borderId="10" xfId="0" applyBorder="1" applyAlignment="1">
      <alignment horizontal="left" indent="2"/>
    </xf>
    <xf numFmtId="0" fontId="1" fillId="0" borderId="18" xfId="0" applyFont="1" applyFill="1" applyBorder="1" applyAlignment="1">
      <alignment horizontal="left" indent="2"/>
    </xf>
    <xf numFmtId="0" fontId="0" fillId="0" borderId="13" xfId="0" applyBorder="1" applyAlignment="1">
      <alignment horizontal="left" indent="2"/>
    </xf>
    <xf numFmtId="0" fontId="1" fillId="0" borderId="7" xfId="0" applyFont="1" applyFill="1" applyBorder="1" applyAlignment="1">
      <alignment horizontal="center" vertical="center"/>
    </xf>
    <xf numFmtId="0" fontId="0" fillId="0" borderId="5" xfId="0" applyBorder="1" applyAlignment="1">
      <alignment vertical="center"/>
    </xf>
    <xf numFmtId="0" fontId="0" fillId="0" borderId="24" xfId="0" applyBorder="1" applyAlignment="1">
      <alignment vertical="center"/>
    </xf>
    <xf numFmtId="0" fontId="0" fillId="0" borderId="9" xfId="0" applyBorder="1" applyAlignment="1">
      <alignment vertical="center"/>
    </xf>
    <xf numFmtId="0" fontId="0" fillId="0" borderId="0" xfId="0" applyAlignment="1">
      <alignment vertical="center"/>
    </xf>
    <xf numFmtId="0" fontId="0" fillId="0" borderId="25"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6" xfId="0" applyBorder="1" applyAlignment="1">
      <alignment vertical="center"/>
    </xf>
    <xf numFmtId="0" fontId="5" fillId="0" borderId="3" xfId="0" applyFont="1" applyBorder="1" applyAlignment="1">
      <alignment horizontal="center" vertical="center"/>
    </xf>
    <xf numFmtId="0" fontId="12" fillId="0" borderId="6" xfId="0" applyFont="1" applyBorder="1" applyAlignment="1">
      <alignment horizontal="center" vertical="center"/>
    </xf>
    <xf numFmtId="0" fontId="19" fillId="0" borderId="5" xfId="0" applyFont="1" applyBorder="1" applyAlignment="1">
      <alignment horizontal="center" vertical="center"/>
    </xf>
    <xf numFmtId="0" fontId="36" fillId="0" borderId="5" xfId="0" applyFont="1" applyBorder="1" applyAlignment="1">
      <alignment horizontal="center" vertical="center"/>
    </xf>
    <xf numFmtId="0" fontId="36" fillId="0" borderId="8" xfId="0" applyFont="1" applyBorder="1" applyAlignment="1">
      <alignment horizontal="center" vertical="center"/>
    </xf>
    <xf numFmtId="0" fontId="5" fillId="0" borderId="6" xfId="0" applyFont="1" applyBorder="1" applyAlignment="1">
      <alignment horizontal="center" vertical="center"/>
    </xf>
    <xf numFmtId="0" fontId="12" fillId="0" borderId="4" xfId="0" applyFont="1" applyBorder="1" applyAlignment="1">
      <alignment horizontal="center" vertical="center"/>
    </xf>
    <xf numFmtId="49" fontId="1" fillId="0" borderId="17" xfId="0" applyNumberFormat="1" applyFont="1" applyBorder="1" applyAlignment="1">
      <alignment horizontal="left" indent="5"/>
    </xf>
    <xf numFmtId="49" fontId="0" fillId="0" borderId="0" xfId="0" applyNumberFormat="1" applyBorder="1" applyAlignment="1">
      <alignment horizontal="left" indent="5"/>
    </xf>
    <xf numFmtId="49" fontId="0" fillId="0" borderId="25" xfId="0" applyNumberFormat="1" applyBorder="1" applyAlignment="1">
      <alignment horizontal="left" indent="5"/>
    </xf>
    <xf numFmtId="49" fontId="1" fillId="0" borderId="17" xfId="0" applyNumberFormat="1" applyFont="1" applyBorder="1" applyAlignment="1">
      <alignment horizontal="left" vertical="center" indent="2"/>
    </xf>
    <xf numFmtId="49" fontId="0" fillId="0" borderId="0" xfId="0" applyNumberFormat="1" applyBorder="1" applyAlignment="1">
      <alignment horizontal="left" vertical="center" indent="2"/>
    </xf>
    <xf numFmtId="49" fontId="0" fillId="0" borderId="25" xfId="0" applyNumberFormat="1" applyBorder="1" applyAlignment="1">
      <alignment horizontal="left" vertical="center" indent="2"/>
    </xf>
    <xf numFmtId="0" fontId="39" fillId="6" borderId="0" xfId="0" applyFont="1" applyFill="1" applyAlignment="1">
      <alignment horizontal="center" vertical="center"/>
    </xf>
    <xf numFmtId="0" fontId="0" fillId="6" borderId="0" xfId="0" applyFill="1" applyAlignment="1"/>
    <xf numFmtId="0" fontId="39" fillId="6" borderId="0" xfId="0" applyFont="1" applyFill="1" applyAlignment="1">
      <alignment horizontal="center"/>
    </xf>
    <xf numFmtId="1" fontId="268" fillId="6" borderId="0" xfId="0" applyNumberFormat="1" applyFont="1" applyFill="1" applyAlignment="1" applyProtection="1">
      <alignment horizontal="center" vertical="center"/>
    </xf>
    <xf numFmtId="1" fontId="269" fillId="6" borderId="0" xfId="0" applyNumberFormat="1" applyFont="1" applyFill="1" applyAlignment="1" applyProtection="1">
      <alignment horizontal="center" vertical="center"/>
    </xf>
    <xf numFmtId="0" fontId="169" fillId="22" borderId="12" xfId="0" applyFont="1" applyFill="1" applyBorder="1" applyAlignment="1" applyProtection="1">
      <alignment horizontal="center" vertical="center"/>
    </xf>
    <xf numFmtId="0" fontId="170" fillId="22" borderId="5" xfId="0" applyFont="1" applyFill="1" applyBorder="1" applyAlignment="1" applyProtection="1">
      <alignment horizontal="center"/>
    </xf>
    <xf numFmtId="0" fontId="111" fillId="22" borderId="0" xfId="0" applyFont="1" applyFill="1" applyBorder="1" applyAlignment="1" applyProtection="1">
      <alignment horizontal="center"/>
    </xf>
    <xf numFmtId="0" fontId="112" fillId="22" borderId="0" xfId="0" applyFont="1" applyFill="1" applyBorder="1" applyAlignment="1" applyProtection="1"/>
    <xf numFmtId="0" fontId="67" fillId="2" borderId="49" xfId="0" applyFont="1" applyFill="1" applyBorder="1" applyAlignment="1" applyProtection="1">
      <alignment horizontal="center" vertical="center"/>
    </xf>
    <xf numFmtId="0" fontId="128" fillId="0" borderId="81" xfId="0" applyFont="1" applyBorder="1" applyAlignment="1" applyProtection="1"/>
    <xf numFmtId="0" fontId="128" fillId="0" borderId="50" xfId="0" applyFont="1" applyBorder="1" applyAlignment="1" applyProtection="1"/>
    <xf numFmtId="0" fontId="274" fillId="20" borderId="0" xfId="0" applyFont="1" applyFill="1" applyBorder="1" applyAlignment="1" applyProtection="1">
      <alignment horizontal="center" vertical="center"/>
    </xf>
    <xf numFmtId="0" fontId="105" fillId="21" borderId="3" xfId="0" applyFont="1" applyFill="1" applyBorder="1" applyAlignment="1" applyProtection="1">
      <alignment horizontal="center" vertical="center"/>
    </xf>
    <xf numFmtId="0" fontId="105" fillId="21" borderId="4" xfId="0" applyFont="1" applyFill="1" applyBorder="1" applyAlignment="1" applyProtection="1">
      <alignment horizontal="center" vertical="center"/>
    </xf>
    <xf numFmtId="0" fontId="105" fillId="7" borderId="3" xfId="0" applyFont="1" applyFill="1" applyBorder="1" applyAlignment="1" applyProtection="1">
      <alignment horizontal="center" vertical="center"/>
    </xf>
    <xf numFmtId="0" fontId="105" fillId="7" borderId="4" xfId="0" applyFont="1" applyFill="1" applyBorder="1" applyAlignment="1" applyProtection="1">
      <alignment horizontal="center" vertical="center"/>
    </xf>
    <xf numFmtId="0" fontId="171" fillId="22" borderId="0" xfId="0" applyFont="1" applyFill="1" applyBorder="1" applyAlignment="1" applyProtection="1">
      <alignment horizontal="center" vertical="center"/>
    </xf>
    <xf numFmtId="0" fontId="0" fillId="22" borderId="0" xfId="0" applyFill="1" applyBorder="1" applyAlignment="1" applyProtection="1">
      <alignment vertical="center"/>
    </xf>
    <xf numFmtId="0" fontId="266" fillId="22" borderId="0" xfId="0" applyFont="1" applyFill="1" applyBorder="1" applyAlignment="1" applyProtection="1">
      <alignment horizontal="center" vertical="center"/>
    </xf>
    <xf numFmtId="0" fontId="0" fillId="0" borderId="0" xfId="0" applyAlignment="1">
      <alignment horizontal="center" vertical="center"/>
    </xf>
    <xf numFmtId="0" fontId="1" fillId="0" borderId="0" xfId="0" applyFont="1" applyFill="1" applyAlignment="1" applyProtection="1"/>
    <xf numFmtId="0" fontId="0" fillId="0" borderId="0" xfId="0" applyFill="1" applyAlignment="1" applyProtection="1"/>
    <xf numFmtId="0" fontId="233" fillId="6" borderId="49" xfId="0" applyFont="1" applyFill="1" applyBorder="1" applyAlignment="1">
      <alignment horizontal="center"/>
    </xf>
    <xf numFmtId="0" fontId="234" fillId="6" borderId="81" xfId="0" applyFont="1" applyFill="1" applyBorder="1" applyAlignment="1">
      <alignment horizontal="center"/>
    </xf>
    <xf numFmtId="0" fontId="234" fillId="6" borderId="50" xfId="0" applyFont="1" applyFill="1" applyBorder="1" applyAlignment="1">
      <alignment horizontal="center"/>
    </xf>
    <xf numFmtId="0" fontId="1" fillId="0" borderId="7" xfId="0" applyFont="1" applyFill="1" applyBorder="1" applyAlignment="1" applyProtection="1">
      <alignment horizontal="left" vertical="center" indent="2"/>
    </xf>
    <xf numFmtId="0" fontId="0" fillId="0" borderId="8" xfId="0" applyBorder="1" applyAlignment="1" applyProtection="1">
      <alignment horizontal="left" vertical="center" indent="2"/>
    </xf>
    <xf numFmtId="0" fontId="1" fillId="0" borderId="11" xfId="0" applyFont="1" applyFill="1" applyBorder="1" applyAlignment="1" applyProtection="1">
      <alignment horizontal="left" vertical="center" indent="2"/>
    </xf>
    <xf numFmtId="0" fontId="0" fillId="0" borderId="13" xfId="0" applyBorder="1" applyAlignment="1" applyProtection="1">
      <alignment horizontal="left" vertical="center" indent="2"/>
    </xf>
    <xf numFmtId="0" fontId="200" fillId="0" borderId="0" xfId="0" applyFont="1" applyAlignment="1" applyProtection="1">
      <alignment horizontal="center" vertical="center"/>
    </xf>
    <xf numFmtId="0" fontId="165" fillId="0" borderId="0" xfId="0" applyFont="1" applyAlignment="1" applyProtection="1"/>
    <xf numFmtId="0" fontId="1" fillId="0" borderId="0" xfId="0" applyFont="1" applyAlignment="1" applyProtection="1">
      <alignment horizontal="left"/>
    </xf>
    <xf numFmtId="0" fontId="0" fillId="0" borderId="0" xfId="0" applyAlignment="1" applyProtection="1">
      <alignment horizontal="left"/>
    </xf>
    <xf numFmtId="0" fontId="6" fillId="0" borderId="0" xfId="0" applyFont="1" applyAlignment="1" applyProtection="1">
      <alignment horizontal="left"/>
    </xf>
    <xf numFmtId="166" fontId="199" fillId="11" borderId="0" xfId="0" applyNumberFormat="1" applyFont="1" applyFill="1" applyAlignment="1" applyProtection="1">
      <alignment horizontal="center"/>
    </xf>
    <xf numFmtId="166" fontId="276" fillId="11" borderId="0" xfId="0" applyNumberFormat="1" applyFont="1" applyFill="1" applyAlignment="1" applyProtection="1">
      <alignment horizontal="center"/>
    </xf>
    <xf numFmtId="0" fontId="1" fillId="0" borderId="0" xfId="0" applyFont="1" applyAlignment="1" applyProtection="1">
      <alignment horizontal="center"/>
    </xf>
    <xf numFmtId="0" fontId="0" fillId="0" borderId="0" xfId="0" applyAlignment="1" applyProtection="1">
      <alignment horizontal="center"/>
    </xf>
    <xf numFmtId="0" fontId="101" fillId="0" borderId="0" xfId="0" applyFont="1" applyAlignment="1" applyProtection="1">
      <alignment horizontal="left" vertical="center"/>
    </xf>
    <xf numFmtId="0" fontId="102" fillId="0" borderId="0" xfId="0" applyFont="1" applyAlignment="1" applyProtection="1">
      <alignment horizontal="left" vertical="center"/>
    </xf>
    <xf numFmtId="1" fontId="199" fillId="11" borderId="0" xfId="0" applyNumberFormat="1" applyFont="1" applyFill="1" applyAlignment="1" applyProtection="1">
      <alignment horizontal="center"/>
    </xf>
    <xf numFmtId="1" fontId="276" fillId="11" borderId="0" xfId="0" applyNumberFormat="1" applyFont="1" applyFill="1" applyAlignment="1" applyProtection="1">
      <alignment horizontal="center"/>
    </xf>
    <xf numFmtId="1" fontId="16" fillId="11" borderId="0" xfId="0" applyNumberFormat="1" applyFont="1" applyFill="1" applyAlignment="1" applyProtection="1">
      <alignment horizontal="center"/>
    </xf>
    <xf numFmtId="1" fontId="36" fillId="11" borderId="0" xfId="0" applyNumberFormat="1" applyFont="1" applyFill="1" applyAlignment="1" applyProtection="1">
      <alignment horizontal="center"/>
    </xf>
    <xf numFmtId="3" fontId="189" fillId="0" borderId="0" xfId="0" applyNumberFormat="1" applyFont="1" applyAlignment="1" applyProtection="1">
      <alignment horizontal="center" vertical="center"/>
    </xf>
    <xf numFmtId="0" fontId="0" fillId="0" borderId="0" xfId="0" applyAlignment="1" applyProtection="1">
      <alignment vertical="center"/>
    </xf>
    <xf numFmtId="3" fontId="196" fillId="0" borderId="0" xfId="0" applyNumberFormat="1" applyFont="1" applyAlignment="1" applyProtection="1">
      <alignment horizontal="center" vertical="center"/>
    </xf>
    <xf numFmtId="0" fontId="197" fillId="0" borderId="0" xfId="0" applyFont="1" applyAlignment="1" applyProtection="1">
      <alignment vertical="center"/>
    </xf>
    <xf numFmtId="0" fontId="4" fillId="2" borderId="63" xfId="0" applyFont="1" applyFill="1" applyBorder="1" applyAlignment="1" applyProtection="1">
      <alignment horizontal="center" vertical="center"/>
    </xf>
    <xf numFmtId="0" fontId="0" fillId="0" borderId="72" xfId="0" applyBorder="1" applyAlignment="1" applyProtection="1"/>
    <xf numFmtId="0" fontId="0" fillId="0" borderId="64" xfId="0" applyBorder="1" applyAlignment="1" applyProtection="1"/>
    <xf numFmtId="3" fontId="35" fillId="2" borderId="0" xfId="0" applyNumberFormat="1" applyFont="1" applyFill="1" applyAlignment="1" applyProtection="1">
      <alignment horizontal="center" vertical="center"/>
    </xf>
    <xf numFmtId="0" fontId="104" fillId="2" borderId="0" xfId="0" applyFont="1" applyFill="1" applyAlignment="1" applyProtection="1">
      <alignment horizontal="center" vertical="center"/>
    </xf>
    <xf numFmtId="169" fontId="172" fillId="6" borderId="0" xfId="0" applyNumberFormat="1" applyFont="1" applyFill="1" applyAlignment="1" applyProtection="1">
      <alignment horizontal="center"/>
    </xf>
    <xf numFmtId="169" fontId="173" fillId="6" borderId="0" xfId="0" applyNumberFormat="1" applyFont="1" applyFill="1" applyAlignment="1" applyProtection="1">
      <alignment horizontal="center"/>
    </xf>
    <xf numFmtId="0" fontId="21" fillId="0" borderId="0" xfId="0" applyFont="1" applyAlignment="1" applyProtection="1">
      <alignment horizontal="center"/>
    </xf>
    <xf numFmtId="0" fontId="210" fillId="0" borderId="0" xfId="0" applyFont="1" applyAlignment="1">
      <alignment horizontal="center"/>
    </xf>
    <xf numFmtId="0" fontId="206" fillId="0" borderId="0" xfId="0" applyFont="1" applyAlignment="1" applyProtection="1">
      <alignment horizontal="center"/>
    </xf>
    <xf numFmtId="0" fontId="6" fillId="0" borderId="0" xfId="0" applyFont="1" applyAlignment="1" applyProtection="1">
      <alignment horizontal="center"/>
    </xf>
    <xf numFmtId="0" fontId="87" fillId="0" borderId="0" xfId="0" applyFont="1" applyAlignment="1">
      <alignment horizontal="center"/>
    </xf>
    <xf numFmtId="0" fontId="256" fillId="0" borderId="0" xfId="0" applyFont="1" applyAlignment="1" applyProtection="1">
      <alignment horizontal="center" vertical="center"/>
    </xf>
    <xf numFmtId="0" fontId="257" fillId="0" borderId="0" xfId="0" applyFont="1" applyAlignment="1" applyProtection="1">
      <alignment horizontal="center" vertical="center"/>
    </xf>
    <xf numFmtId="0" fontId="259" fillId="0" borderId="186" xfId="0" applyFont="1" applyBorder="1" applyAlignment="1" applyProtection="1">
      <alignment horizontal="center"/>
    </xf>
    <xf numFmtId="0" fontId="260" fillId="0" borderId="186" xfId="0" applyFont="1" applyBorder="1" applyAlignment="1" applyProtection="1">
      <alignment horizontal="center"/>
    </xf>
    <xf numFmtId="0" fontId="256" fillId="0" borderId="0" xfId="0" applyFont="1" applyAlignment="1" applyProtection="1">
      <alignment horizontal="center"/>
    </xf>
    <xf numFmtId="0" fontId="257" fillId="0" borderId="0" xfId="0" applyFont="1" applyAlignment="1" applyProtection="1">
      <alignment horizontal="center"/>
    </xf>
    <xf numFmtId="0" fontId="223" fillId="3" borderId="158" xfId="0" applyFont="1" applyFill="1" applyBorder="1" applyAlignment="1">
      <alignment horizontal="center" vertical="center" wrapText="1"/>
    </xf>
    <xf numFmtId="0" fontId="223" fillId="3" borderId="161" xfId="0" applyFont="1" applyFill="1" applyBorder="1" applyAlignment="1">
      <alignment horizontal="center" vertical="center" wrapText="1"/>
    </xf>
    <xf numFmtId="0" fontId="67" fillId="3" borderId="159" xfId="0" applyFont="1" applyFill="1" applyBorder="1" applyAlignment="1">
      <alignment horizontal="center" vertical="center" wrapText="1"/>
    </xf>
    <xf numFmtId="0" fontId="67" fillId="3" borderId="160" xfId="0" applyFont="1" applyFill="1" applyBorder="1" applyAlignment="1">
      <alignment horizontal="center" vertical="center" wrapText="1"/>
    </xf>
    <xf numFmtId="0" fontId="224" fillId="2" borderId="162" xfId="0" applyFont="1" applyFill="1" applyBorder="1" applyAlignment="1">
      <alignment horizontal="center" vertical="center" wrapText="1"/>
    </xf>
    <xf numFmtId="0" fontId="224" fillId="2" borderId="163" xfId="0" applyFont="1" applyFill="1" applyBorder="1" applyAlignment="1">
      <alignment horizontal="center" vertical="center" wrapText="1"/>
    </xf>
    <xf numFmtId="0" fontId="224" fillId="2" borderId="164" xfId="0" applyFont="1" applyFill="1" applyBorder="1" applyAlignment="1">
      <alignment horizontal="center" vertical="center" wrapText="1"/>
    </xf>
    <xf numFmtId="49" fontId="1" fillId="0" borderId="170" xfId="0" applyNumberFormat="1" applyFont="1" applyBorder="1" applyAlignment="1">
      <alignment horizontal="left" vertical="center" indent="1"/>
    </xf>
    <xf numFmtId="49" fontId="0" fillId="0" borderId="55" xfId="0" applyNumberFormat="1" applyBorder="1" applyAlignment="1">
      <alignment horizontal="left" vertical="center" indent="1"/>
    </xf>
    <xf numFmtId="49" fontId="0" fillId="0" borderId="171" xfId="0" applyNumberFormat="1" applyBorder="1" applyAlignment="1">
      <alignment horizontal="left" vertical="center" indent="1"/>
    </xf>
    <xf numFmtId="0" fontId="4" fillId="7" borderId="3" xfId="0" applyFont="1" applyFill="1" applyBorder="1" applyAlignment="1">
      <alignment horizontal="center" vertical="center"/>
    </xf>
    <xf numFmtId="0" fontId="33" fillId="7" borderId="6" xfId="0" applyFont="1" applyFill="1" applyBorder="1" applyAlignment="1">
      <alignment horizontal="center" vertical="center"/>
    </xf>
    <xf numFmtId="0" fontId="33" fillId="7" borderId="4" xfId="0" applyFont="1" applyFill="1" applyBorder="1" applyAlignment="1">
      <alignment horizontal="center" vertical="center"/>
    </xf>
  </cellXfs>
  <cellStyles count="3">
    <cellStyle name="Lien hypertexte" xfId="1" builtinId="8"/>
    <cellStyle name="Normal" xfId="0" builtinId="0"/>
    <cellStyle name="Pourcentage" xfId="2" builtinId="5"/>
  </cellStyles>
  <dxfs count="80">
    <dxf>
      <font>
        <strike val="0"/>
        <color rgb="FFFF0000"/>
      </font>
    </dxf>
    <dxf>
      <font>
        <b/>
        <i val="0"/>
        <strike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5050"/>
        </patternFill>
      </fill>
    </dxf>
    <dxf>
      <font>
        <color rgb="FFFF0000"/>
      </font>
    </dxf>
    <dxf>
      <font>
        <color rgb="FFFF0000"/>
      </font>
    </dxf>
    <dxf>
      <fill>
        <patternFill>
          <bgColor rgb="FFFFFF00"/>
        </patternFill>
      </fill>
    </dxf>
    <dxf>
      <fill>
        <patternFill>
          <bgColor rgb="FFFF5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
      <font>
        <color rgb="FFFF0000"/>
      </font>
    </dxf>
    <dxf>
      <font>
        <b/>
        <i val="0"/>
        <color rgb="FFFF0000"/>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FF5050"/>
      </font>
    </dxf>
    <dxf>
      <font>
        <color theme="1"/>
      </font>
      <fill>
        <patternFill>
          <bgColor theme="1"/>
        </patternFill>
      </fill>
    </dxf>
    <dxf>
      <fill>
        <patternFill>
          <bgColor rgb="FFFFC000"/>
        </patternFill>
      </fill>
    </dxf>
    <dxf>
      <fill>
        <patternFill>
          <bgColor rgb="FFFFC000"/>
        </patternFill>
      </fill>
    </dxf>
    <dxf>
      <font>
        <color theme="1"/>
      </font>
      <fill>
        <patternFill>
          <bgColor theme="1"/>
        </patternFill>
      </fill>
    </dxf>
    <dxf>
      <font>
        <b/>
        <i val="0"/>
        <color rgb="FFFF5050"/>
      </font>
    </dxf>
    <dxf>
      <font>
        <color theme="1"/>
      </font>
      <fill>
        <patternFill>
          <bgColor theme="1"/>
        </patternFill>
      </fill>
    </dxf>
    <dxf>
      <fill>
        <patternFill>
          <bgColor theme="1"/>
        </patternFill>
      </fill>
    </dxf>
    <dxf>
      <font>
        <color theme="1"/>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33CC"/>
      <color rgb="FF0000FF"/>
      <color rgb="FFFF3399"/>
      <color rgb="FFFF5050"/>
      <color rgb="FF008000"/>
      <color rgb="FF006600"/>
      <color rgb="FF000099"/>
      <color rgb="FFCCFFFF"/>
      <color rgb="FFFFFFCC"/>
      <color rgb="FF00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987016393442623"/>
          <c:y val="0.10241819238610793"/>
        </c:manualLayout>
      </c:layout>
      <c:overlay val="0"/>
      <c:txPr>
        <a:bodyPr/>
        <a:lstStyle/>
        <a:p>
          <a:pPr>
            <a:defRPr sz="3200">
              <a:solidFill>
                <a:srgbClr val="C00000"/>
              </a:solidFill>
            </a:defRPr>
          </a:pPr>
          <a:endParaRPr lang="fr-FR"/>
        </a:p>
      </c:txPr>
    </c:title>
    <c:autoTitleDeleted val="0"/>
    <c:plotArea>
      <c:layout>
        <c:manualLayout>
          <c:layoutTarget val="inner"/>
          <c:xMode val="edge"/>
          <c:yMode val="edge"/>
          <c:x val="3.7000266769932448E-2"/>
          <c:y val="4.2969942396113785E-2"/>
          <c:w val="0.94607280908068314"/>
          <c:h val="0.9189994495077779"/>
        </c:manualLayout>
      </c:layout>
      <c:scatterChart>
        <c:scatterStyle val="lineMarker"/>
        <c:varyColors val="0"/>
        <c:ser>
          <c:idx val="0"/>
          <c:order val="0"/>
          <c:tx>
            <c:v>TMP37</c:v>
          </c:tx>
          <c:marker>
            <c:symbol val="none"/>
          </c:marker>
          <c:trendline>
            <c:trendlineType val="linear"/>
            <c:dispRSqr val="0"/>
            <c:dispEq val="1"/>
            <c:trendlineLbl>
              <c:layout>
                <c:manualLayout>
                  <c:x val="-0.1231297918097809"/>
                  <c:y val="6.3265930272365337E-2"/>
                </c:manualLayout>
              </c:layout>
              <c:numFmt formatCode="#,##0.00000000" sourceLinked="0"/>
              <c:txPr>
                <a:bodyPr/>
                <a:lstStyle/>
                <a:p>
                  <a:pPr>
                    <a:defRPr sz="3600"/>
                  </a:pPr>
                  <a:endParaRPr lang="fr-FR"/>
                </a:p>
              </c:txPr>
            </c:trendlineLbl>
          </c:trendline>
          <c:xVal>
            <c:numRef>
              <c:f>'TMP37'!$I$9:$CZ$9</c:f>
              <c:numCache>
                <c:formatCode>0</c:formatCode>
                <c:ptCount val="96"/>
                <c:pt idx="0">
                  <c:v>1600</c:v>
                </c:pt>
                <c:pt idx="1">
                  <c:v>1920</c:v>
                </c:pt>
                <c:pt idx="2">
                  <c:v>2240</c:v>
                </c:pt>
                <c:pt idx="3">
                  <c:v>2560</c:v>
                </c:pt>
                <c:pt idx="4">
                  <c:v>2880</c:v>
                </c:pt>
                <c:pt idx="5">
                  <c:v>3200</c:v>
                </c:pt>
                <c:pt idx="6">
                  <c:v>3520</c:v>
                </c:pt>
                <c:pt idx="7">
                  <c:v>3840</c:v>
                </c:pt>
                <c:pt idx="8">
                  <c:v>4160</c:v>
                </c:pt>
                <c:pt idx="9">
                  <c:v>4480</c:v>
                </c:pt>
                <c:pt idx="10">
                  <c:v>4800</c:v>
                </c:pt>
                <c:pt idx="11">
                  <c:v>5120</c:v>
                </c:pt>
                <c:pt idx="12">
                  <c:v>5440</c:v>
                </c:pt>
                <c:pt idx="13">
                  <c:v>5760</c:v>
                </c:pt>
                <c:pt idx="14">
                  <c:v>6080</c:v>
                </c:pt>
                <c:pt idx="15">
                  <c:v>6400</c:v>
                </c:pt>
                <c:pt idx="16">
                  <c:v>6720</c:v>
                </c:pt>
                <c:pt idx="17">
                  <c:v>7040</c:v>
                </c:pt>
                <c:pt idx="18">
                  <c:v>7360</c:v>
                </c:pt>
                <c:pt idx="19">
                  <c:v>7680</c:v>
                </c:pt>
                <c:pt idx="20">
                  <c:v>8000</c:v>
                </c:pt>
                <c:pt idx="21">
                  <c:v>8320</c:v>
                </c:pt>
                <c:pt idx="22">
                  <c:v>8640</c:v>
                </c:pt>
                <c:pt idx="23">
                  <c:v>8960</c:v>
                </c:pt>
                <c:pt idx="24">
                  <c:v>9280</c:v>
                </c:pt>
                <c:pt idx="25">
                  <c:v>9600</c:v>
                </c:pt>
                <c:pt idx="26">
                  <c:v>9920</c:v>
                </c:pt>
                <c:pt idx="27">
                  <c:v>10240</c:v>
                </c:pt>
                <c:pt idx="28">
                  <c:v>10560</c:v>
                </c:pt>
                <c:pt idx="29">
                  <c:v>10880</c:v>
                </c:pt>
                <c:pt idx="30">
                  <c:v>11200</c:v>
                </c:pt>
                <c:pt idx="31">
                  <c:v>11520</c:v>
                </c:pt>
                <c:pt idx="32">
                  <c:v>11840</c:v>
                </c:pt>
                <c:pt idx="33">
                  <c:v>12160</c:v>
                </c:pt>
                <c:pt idx="34">
                  <c:v>12480</c:v>
                </c:pt>
                <c:pt idx="35">
                  <c:v>12800</c:v>
                </c:pt>
                <c:pt idx="36">
                  <c:v>13120</c:v>
                </c:pt>
                <c:pt idx="37">
                  <c:v>13440</c:v>
                </c:pt>
                <c:pt idx="38">
                  <c:v>13760</c:v>
                </c:pt>
                <c:pt idx="39">
                  <c:v>14080</c:v>
                </c:pt>
                <c:pt idx="40">
                  <c:v>14400</c:v>
                </c:pt>
                <c:pt idx="41">
                  <c:v>14720</c:v>
                </c:pt>
                <c:pt idx="42">
                  <c:v>15040</c:v>
                </c:pt>
                <c:pt idx="43">
                  <c:v>15360</c:v>
                </c:pt>
                <c:pt idx="44">
                  <c:v>15680</c:v>
                </c:pt>
                <c:pt idx="45">
                  <c:v>16000</c:v>
                </c:pt>
                <c:pt idx="46">
                  <c:v>16320</c:v>
                </c:pt>
                <c:pt idx="47">
                  <c:v>16640</c:v>
                </c:pt>
                <c:pt idx="48">
                  <c:v>16960</c:v>
                </c:pt>
                <c:pt idx="49">
                  <c:v>17280</c:v>
                </c:pt>
                <c:pt idx="50">
                  <c:v>17600</c:v>
                </c:pt>
                <c:pt idx="51">
                  <c:v>17920</c:v>
                </c:pt>
                <c:pt idx="52">
                  <c:v>18240</c:v>
                </c:pt>
                <c:pt idx="53">
                  <c:v>18560</c:v>
                </c:pt>
                <c:pt idx="54">
                  <c:v>18880</c:v>
                </c:pt>
                <c:pt idx="55">
                  <c:v>19200</c:v>
                </c:pt>
                <c:pt idx="56">
                  <c:v>19520</c:v>
                </c:pt>
                <c:pt idx="57">
                  <c:v>19840</c:v>
                </c:pt>
                <c:pt idx="58">
                  <c:v>20160</c:v>
                </c:pt>
                <c:pt idx="59">
                  <c:v>20480</c:v>
                </c:pt>
                <c:pt idx="60">
                  <c:v>20800</c:v>
                </c:pt>
                <c:pt idx="61">
                  <c:v>21120</c:v>
                </c:pt>
                <c:pt idx="62">
                  <c:v>21440</c:v>
                </c:pt>
                <c:pt idx="63">
                  <c:v>21760</c:v>
                </c:pt>
                <c:pt idx="64">
                  <c:v>22080</c:v>
                </c:pt>
                <c:pt idx="65">
                  <c:v>22400</c:v>
                </c:pt>
                <c:pt idx="66">
                  <c:v>22720</c:v>
                </c:pt>
                <c:pt idx="67">
                  <c:v>23040</c:v>
                </c:pt>
                <c:pt idx="68">
                  <c:v>23360</c:v>
                </c:pt>
                <c:pt idx="69">
                  <c:v>23680</c:v>
                </c:pt>
                <c:pt idx="70">
                  <c:v>24000</c:v>
                </c:pt>
                <c:pt idx="71">
                  <c:v>24320</c:v>
                </c:pt>
                <c:pt idx="72">
                  <c:v>24640</c:v>
                </c:pt>
                <c:pt idx="73">
                  <c:v>24960</c:v>
                </c:pt>
                <c:pt idx="74">
                  <c:v>25280</c:v>
                </c:pt>
                <c:pt idx="75">
                  <c:v>25600</c:v>
                </c:pt>
                <c:pt idx="76">
                  <c:v>25920</c:v>
                </c:pt>
                <c:pt idx="77">
                  <c:v>26240</c:v>
                </c:pt>
                <c:pt idx="78">
                  <c:v>26560</c:v>
                </c:pt>
                <c:pt idx="79">
                  <c:v>26880</c:v>
                </c:pt>
                <c:pt idx="80">
                  <c:v>27200</c:v>
                </c:pt>
                <c:pt idx="81">
                  <c:v>27520</c:v>
                </c:pt>
                <c:pt idx="82">
                  <c:v>27840</c:v>
                </c:pt>
                <c:pt idx="83">
                  <c:v>28160</c:v>
                </c:pt>
                <c:pt idx="84">
                  <c:v>28480</c:v>
                </c:pt>
                <c:pt idx="85">
                  <c:v>28800</c:v>
                </c:pt>
                <c:pt idx="86">
                  <c:v>29120</c:v>
                </c:pt>
                <c:pt idx="87">
                  <c:v>29440</c:v>
                </c:pt>
                <c:pt idx="88">
                  <c:v>29760</c:v>
                </c:pt>
                <c:pt idx="89">
                  <c:v>30080</c:v>
                </c:pt>
                <c:pt idx="90">
                  <c:v>30400</c:v>
                </c:pt>
                <c:pt idx="91">
                  <c:v>30720</c:v>
                </c:pt>
                <c:pt idx="92">
                  <c:v>31040</c:v>
                </c:pt>
                <c:pt idx="93">
                  <c:v>31360</c:v>
                </c:pt>
                <c:pt idx="94">
                  <c:v>31680</c:v>
                </c:pt>
                <c:pt idx="95">
                  <c:v>32000</c:v>
                </c:pt>
              </c:numCache>
            </c:numRef>
          </c:xVal>
          <c:yVal>
            <c:numRef>
              <c:f>'TMP37'!$I$8:$CZ$8</c:f>
              <c:numCache>
                <c:formatCode>0\°\C</c:formatCode>
                <c:ptCount val="96"/>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24</c:v>
                </c:pt>
                <c:pt idx="20">
                  <c:v>25</c:v>
                </c:pt>
                <c:pt idx="21">
                  <c:v>26</c:v>
                </c:pt>
                <c:pt idx="22">
                  <c:v>27</c:v>
                </c:pt>
                <c:pt idx="23">
                  <c:v>28</c:v>
                </c:pt>
                <c:pt idx="24">
                  <c:v>29</c:v>
                </c:pt>
                <c:pt idx="25">
                  <c:v>30</c:v>
                </c:pt>
                <c:pt idx="26">
                  <c:v>31</c:v>
                </c:pt>
                <c:pt idx="27">
                  <c:v>32</c:v>
                </c:pt>
                <c:pt idx="28">
                  <c:v>33</c:v>
                </c:pt>
                <c:pt idx="29">
                  <c:v>34</c:v>
                </c:pt>
                <c:pt idx="30">
                  <c:v>35</c:v>
                </c:pt>
                <c:pt idx="31">
                  <c:v>36</c:v>
                </c:pt>
                <c:pt idx="32">
                  <c:v>37</c:v>
                </c:pt>
                <c:pt idx="33">
                  <c:v>38</c:v>
                </c:pt>
                <c:pt idx="34">
                  <c:v>39</c:v>
                </c:pt>
                <c:pt idx="35">
                  <c:v>40</c:v>
                </c:pt>
                <c:pt idx="36">
                  <c:v>41</c:v>
                </c:pt>
                <c:pt idx="37">
                  <c:v>42</c:v>
                </c:pt>
                <c:pt idx="38">
                  <c:v>43</c:v>
                </c:pt>
                <c:pt idx="39">
                  <c:v>44</c:v>
                </c:pt>
                <c:pt idx="40">
                  <c:v>45</c:v>
                </c:pt>
                <c:pt idx="41">
                  <c:v>46</c:v>
                </c:pt>
                <c:pt idx="42">
                  <c:v>47</c:v>
                </c:pt>
                <c:pt idx="43">
                  <c:v>48</c:v>
                </c:pt>
                <c:pt idx="44">
                  <c:v>49</c:v>
                </c:pt>
                <c:pt idx="45">
                  <c:v>50</c:v>
                </c:pt>
                <c:pt idx="46">
                  <c:v>51</c:v>
                </c:pt>
                <c:pt idx="47">
                  <c:v>52</c:v>
                </c:pt>
                <c:pt idx="48">
                  <c:v>53</c:v>
                </c:pt>
                <c:pt idx="49">
                  <c:v>54</c:v>
                </c:pt>
                <c:pt idx="50">
                  <c:v>55</c:v>
                </c:pt>
                <c:pt idx="51">
                  <c:v>56</c:v>
                </c:pt>
                <c:pt idx="52">
                  <c:v>57</c:v>
                </c:pt>
                <c:pt idx="53">
                  <c:v>58</c:v>
                </c:pt>
                <c:pt idx="54">
                  <c:v>59</c:v>
                </c:pt>
                <c:pt idx="55">
                  <c:v>60</c:v>
                </c:pt>
                <c:pt idx="56">
                  <c:v>61</c:v>
                </c:pt>
                <c:pt idx="57">
                  <c:v>62</c:v>
                </c:pt>
                <c:pt idx="58">
                  <c:v>63</c:v>
                </c:pt>
                <c:pt idx="59">
                  <c:v>64</c:v>
                </c:pt>
                <c:pt idx="60">
                  <c:v>65</c:v>
                </c:pt>
                <c:pt idx="61">
                  <c:v>66</c:v>
                </c:pt>
                <c:pt idx="62">
                  <c:v>67</c:v>
                </c:pt>
                <c:pt idx="63">
                  <c:v>68</c:v>
                </c:pt>
                <c:pt idx="64">
                  <c:v>69</c:v>
                </c:pt>
                <c:pt idx="65">
                  <c:v>70</c:v>
                </c:pt>
                <c:pt idx="66">
                  <c:v>71</c:v>
                </c:pt>
                <c:pt idx="67">
                  <c:v>72</c:v>
                </c:pt>
                <c:pt idx="68">
                  <c:v>73</c:v>
                </c:pt>
                <c:pt idx="69">
                  <c:v>74</c:v>
                </c:pt>
                <c:pt idx="70">
                  <c:v>75</c:v>
                </c:pt>
                <c:pt idx="71">
                  <c:v>76</c:v>
                </c:pt>
                <c:pt idx="72">
                  <c:v>77</c:v>
                </c:pt>
                <c:pt idx="73">
                  <c:v>78</c:v>
                </c:pt>
                <c:pt idx="74">
                  <c:v>79</c:v>
                </c:pt>
                <c:pt idx="75">
                  <c:v>80</c:v>
                </c:pt>
                <c:pt idx="76">
                  <c:v>81</c:v>
                </c:pt>
                <c:pt idx="77">
                  <c:v>82</c:v>
                </c:pt>
                <c:pt idx="78">
                  <c:v>83</c:v>
                </c:pt>
                <c:pt idx="79">
                  <c:v>84</c:v>
                </c:pt>
                <c:pt idx="80">
                  <c:v>85</c:v>
                </c:pt>
                <c:pt idx="81">
                  <c:v>86</c:v>
                </c:pt>
                <c:pt idx="82">
                  <c:v>87</c:v>
                </c:pt>
                <c:pt idx="83">
                  <c:v>88</c:v>
                </c:pt>
                <c:pt idx="84">
                  <c:v>89</c:v>
                </c:pt>
                <c:pt idx="85">
                  <c:v>90</c:v>
                </c:pt>
                <c:pt idx="86">
                  <c:v>91</c:v>
                </c:pt>
                <c:pt idx="87">
                  <c:v>92</c:v>
                </c:pt>
                <c:pt idx="88">
                  <c:v>93</c:v>
                </c:pt>
                <c:pt idx="89">
                  <c:v>94</c:v>
                </c:pt>
                <c:pt idx="90">
                  <c:v>95</c:v>
                </c:pt>
                <c:pt idx="91">
                  <c:v>96</c:v>
                </c:pt>
                <c:pt idx="92">
                  <c:v>97</c:v>
                </c:pt>
                <c:pt idx="93">
                  <c:v>98</c:v>
                </c:pt>
                <c:pt idx="94">
                  <c:v>99</c:v>
                </c:pt>
                <c:pt idx="95">
                  <c:v>100</c:v>
                </c:pt>
              </c:numCache>
            </c:numRef>
          </c:yVal>
          <c:smooth val="0"/>
        </c:ser>
        <c:dLbls>
          <c:showLegendKey val="0"/>
          <c:showVal val="0"/>
          <c:showCatName val="0"/>
          <c:showSerName val="0"/>
          <c:showPercent val="0"/>
          <c:showBubbleSize val="0"/>
        </c:dLbls>
        <c:axId val="179815168"/>
        <c:axId val="179816704"/>
      </c:scatterChart>
      <c:valAx>
        <c:axId val="179815168"/>
        <c:scaling>
          <c:orientation val="minMax"/>
        </c:scaling>
        <c:delete val="0"/>
        <c:axPos val="b"/>
        <c:numFmt formatCode="0" sourceLinked="1"/>
        <c:majorTickMark val="out"/>
        <c:minorTickMark val="none"/>
        <c:tickLblPos val="nextTo"/>
        <c:crossAx val="179816704"/>
        <c:crosses val="autoZero"/>
        <c:crossBetween val="midCat"/>
      </c:valAx>
      <c:valAx>
        <c:axId val="179816704"/>
        <c:scaling>
          <c:orientation val="minMax"/>
        </c:scaling>
        <c:delete val="0"/>
        <c:axPos val="l"/>
        <c:majorGridlines/>
        <c:numFmt formatCode="0\°\C" sourceLinked="1"/>
        <c:majorTickMark val="out"/>
        <c:minorTickMark val="none"/>
        <c:tickLblPos val="nextTo"/>
        <c:crossAx val="179815168"/>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041310312401424E-2"/>
          <c:y val="3.124167171411266E-2"/>
          <c:w val="0.89611298587676536"/>
          <c:h val="0.9375575591911115"/>
        </c:manualLayout>
      </c:layout>
      <c:scatterChart>
        <c:scatterStyle val="lineMarker"/>
        <c:varyColors val="0"/>
        <c:ser>
          <c:idx val="0"/>
          <c:order val="0"/>
          <c:marker>
            <c:symbol val="none"/>
          </c:marker>
          <c:trendline>
            <c:trendlineType val="linear"/>
            <c:dispRSqr val="0"/>
            <c:dispEq val="1"/>
            <c:trendlineLbl>
              <c:layout>
                <c:manualLayout>
                  <c:x val="-0.1579567704419533"/>
                  <c:y val="9.1809671214762273E-2"/>
                </c:manualLayout>
              </c:layout>
              <c:numFmt formatCode="#,##0.000000" sourceLinked="0"/>
              <c:txPr>
                <a:bodyPr/>
                <a:lstStyle/>
                <a:p>
                  <a:pPr>
                    <a:defRPr sz="3200"/>
                  </a:pPr>
                  <a:endParaRPr lang="fr-FR"/>
                </a:p>
              </c:txPr>
            </c:trendlineLbl>
          </c:trendline>
          <c:xVal>
            <c:numRef>
              <c:f>'TMP37'!$I$9:$CZ$9</c:f>
              <c:numCache>
                <c:formatCode>0</c:formatCode>
                <c:ptCount val="96"/>
                <c:pt idx="0">
                  <c:v>1600</c:v>
                </c:pt>
                <c:pt idx="1">
                  <c:v>1920</c:v>
                </c:pt>
                <c:pt idx="2">
                  <c:v>2240</c:v>
                </c:pt>
                <c:pt idx="3">
                  <c:v>2560</c:v>
                </c:pt>
                <c:pt idx="4">
                  <c:v>2880</c:v>
                </c:pt>
                <c:pt idx="5">
                  <c:v>3200</c:v>
                </c:pt>
                <c:pt idx="6">
                  <c:v>3520</c:v>
                </c:pt>
                <c:pt idx="7">
                  <c:v>3840</c:v>
                </c:pt>
                <c:pt idx="8">
                  <c:v>4160</c:v>
                </c:pt>
                <c:pt idx="9">
                  <c:v>4480</c:v>
                </c:pt>
                <c:pt idx="10">
                  <c:v>4800</c:v>
                </c:pt>
                <c:pt idx="11">
                  <c:v>5120</c:v>
                </c:pt>
                <c:pt idx="12">
                  <c:v>5440</c:v>
                </c:pt>
                <c:pt idx="13">
                  <c:v>5760</c:v>
                </c:pt>
                <c:pt idx="14">
                  <c:v>6080</c:v>
                </c:pt>
                <c:pt idx="15">
                  <c:v>6400</c:v>
                </c:pt>
                <c:pt idx="16">
                  <c:v>6720</c:v>
                </c:pt>
                <c:pt idx="17">
                  <c:v>7040</c:v>
                </c:pt>
                <c:pt idx="18">
                  <c:v>7360</c:v>
                </c:pt>
                <c:pt idx="19">
                  <c:v>7680</c:v>
                </c:pt>
                <c:pt idx="20">
                  <c:v>8000</c:v>
                </c:pt>
                <c:pt idx="21">
                  <c:v>8320</c:v>
                </c:pt>
                <c:pt idx="22">
                  <c:v>8640</c:v>
                </c:pt>
                <c:pt idx="23">
                  <c:v>8960</c:v>
                </c:pt>
                <c:pt idx="24">
                  <c:v>9280</c:v>
                </c:pt>
                <c:pt idx="25">
                  <c:v>9600</c:v>
                </c:pt>
                <c:pt idx="26">
                  <c:v>9920</c:v>
                </c:pt>
                <c:pt idx="27">
                  <c:v>10240</c:v>
                </c:pt>
                <c:pt idx="28">
                  <c:v>10560</c:v>
                </c:pt>
                <c:pt idx="29">
                  <c:v>10880</c:v>
                </c:pt>
                <c:pt idx="30">
                  <c:v>11200</c:v>
                </c:pt>
                <c:pt idx="31">
                  <c:v>11520</c:v>
                </c:pt>
                <c:pt idx="32">
                  <c:v>11840</c:v>
                </c:pt>
                <c:pt idx="33">
                  <c:v>12160</c:v>
                </c:pt>
                <c:pt idx="34">
                  <c:v>12480</c:v>
                </c:pt>
                <c:pt idx="35">
                  <c:v>12800</c:v>
                </c:pt>
                <c:pt idx="36">
                  <c:v>13120</c:v>
                </c:pt>
                <c:pt idx="37">
                  <c:v>13440</c:v>
                </c:pt>
                <c:pt idx="38">
                  <c:v>13760</c:v>
                </c:pt>
                <c:pt idx="39">
                  <c:v>14080</c:v>
                </c:pt>
                <c:pt idx="40">
                  <c:v>14400</c:v>
                </c:pt>
                <c:pt idx="41">
                  <c:v>14720</c:v>
                </c:pt>
                <c:pt idx="42">
                  <c:v>15040</c:v>
                </c:pt>
                <c:pt idx="43">
                  <c:v>15360</c:v>
                </c:pt>
                <c:pt idx="44">
                  <c:v>15680</c:v>
                </c:pt>
                <c:pt idx="45">
                  <c:v>16000</c:v>
                </c:pt>
                <c:pt idx="46">
                  <c:v>16320</c:v>
                </c:pt>
                <c:pt idx="47">
                  <c:v>16640</c:v>
                </c:pt>
                <c:pt idx="48">
                  <c:v>16960</c:v>
                </c:pt>
                <c:pt idx="49">
                  <c:v>17280</c:v>
                </c:pt>
                <c:pt idx="50">
                  <c:v>17600</c:v>
                </c:pt>
                <c:pt idx="51">
                  <c:v>17920</c:v>
                </c:pt>
                <c:pt idx="52">
                  <c:v>18240</c:v>
                </c:pt>
                <c:pt idx="53">
                  <c:v>18560</c:v>
                </c:pt>
                <c:pt idx="54">
                  <c:v>18880</c:v>
                </c:pt>
                <c:pt idx="55">
                  <c:v>19200</c:v>
                </c:pt>
                <c:pt idx="56">
                  <c:v>19520</c:v>
                </c:pt>
                <c:pt idx="57">
                  <c:v>19840</c:v>
                </c:pt>
                <c:pt idx="58">
                  <c:v>20160</c:v>
                </c:pt>
                <c:pt idx="59">
                  <c:v>20480</c:v>
                </c:pt>
                <c:pt idx="60">
                  <c:v>20800</c:v>
                </c:pt>
                <c:pt idx="61">
                  <c:v>21120</c:v>
                </c:pt>
                <c:pt idx="62">
                  <c:v>21440</c:v>
                </c:pt>
                <c:pt idx="63">
                  <c:v>21760</c:v>
                </c:pt>
                <c:pt idx="64">
                  <c:v>22080</c:v>
                </c:pt>
                <c:pt idx="65">
                  <c:v>22400</c:v>
                </c:pt>
                <c:pt idx="66">
                  <c:v>22720</c:v>
                </c:pt>
                <c:pt idx="67">
                  <c:v>23040</c:v>
                </c:pt>
                <c:pt idx="68">
                  <c:v>23360</c:v>
                </c:pt>
                <c:pt idx="69">
                  <c:v>23680</c:v>
                </c:pt>
                <c:pt idx="70">
                  <c:v>24000</c:v>
                </c:pt>
                <c:pt idx="71">
                  <c:v>24320</c:v>
                </c:pt>
                <c:pt idx="72">
                  <c:v>24640</c:v>
                </c:pt>
                <c:pt idx="73">
                  <c:v>24960</c:v>
                </c:pt>
                <c:pt idx="74">
                  <c:v>25280</c:v>
                </c:pt>
                <c:pt idx="75">
                  <c:v>25600</c:v>
                </c:pt>
                <c:pt idx="76">
                  <c:v>25920</c:v>
                </c:pt>
                <c:pt idx="77">
                  <c:v>26240</c:v>
                </c:pt>
                <c:pt idx="78">
                  <c:v>26560</c:v>
                </c:pt>
                <c:pt idx="79">
                  <c:v>26880</c:v>
                </c:pt>
                <c:pt idx="80">
                  <c:v>27200</c:v>
                </c:pt>
                <c:pt idx="81">
                  <c:v>27520</c:v>
                </c:pt>
                <c:pt idx="82">
                  <c:v>27840</c:v>
                </c:pt>
                <c:pt idx="83">
                  <c:v>28160</c:v>
                </c:pt>
                <c:pt idx="84">
                  <c:v>28480</c:v>
                </c:pt>
                <c:pt idx="85">
                  <c:v>28800</c:v>
                </c:pt>
                <c:pt idx="86">
                  <c:v>29120</c:v>
                </c:pt>
                <c:pt idx="87">
                  <c:v>29440</c:v>
                </c:pt>
                <c:pt idx="88">
                  <c:v>29760</c:v>
                </c:pt>
                <c:pt idx="89">
                  <c:v>30080</c:v>
                </c:pt>
                <c:pt idx="90">
                  <c:v>30400</c:v>
                </c:pt>
                <c:pt idx="91">
                  <c:v>30720</c:v>
                </c:pt>
                <c:pt idx="92">
                  <c:v>31040</c:v>
                </c:pt>
                <c:pt idx="93">
                  <c:v>31360</c:v>
                </c:pt>
                <c:pt idx="94">
                  <c:v>31680</c:v>
                </c:pt>
                <c:pt idx="95">
                  <c:v>32000</c:v>
                </c:pt>
              </c:numCache>
            </c:numRef>
          </c:xVal>
          <c:yVal>
            <c:numRef>
              <c:f>'TMP37'!$I$10:$CZ$10</c:f>
              <c:numCache>
                <c:formatCode>General</c:formatCode>
                <c:ptCount val="96"/>
                <c:pt idx="0">
                  <c:v>100</c:v>
                </c:pt>
                <c:pt idx="1">
                  <c:v>120</c:v>
                </c:pt>
                <c:pt idx="2">
                  <c:v>140</c:v>
                </c:pt>
                <c:pt idx="3">
                  <c:v>160</c:v>
                </c:pt>
                <c:pt idx="4">
                  <c:v>180</c:v>
                </c:pt>
                <c:pt idx="5">
                  <c:v>200</c:v>
                </c:pt>
                <c:pt idx="6">
                  <c:v>220</c:v>
                </c:pt>
                <c:pt idx="7">
                  <c:v>240</c:v>
                </c:pt>
                <c:pt idx="8">
                  <c:v>260</c:v>
                </c:pt>
                <c:pt idx="9">
                  <c:v>280</c:v>
                </c:pt>
                <c:pt idx="10">
                  <c:v>300</c:v>
                </c:pt>
                <c:pt idx="11">
                  <c:v>320</c:v>
                </c:pt>
                <c:pt idx="12">
                  <c:v>340</c:v>
                </c:pt>
                <c:pt idx="13">
                  <c:v>360</c:v>
                </c:pt>
                <c:pt idx="14">
                  <c:v>380</c:v>
                </c:pt>
                <c:pt idx="15">
                  <c:v>400</c:v>
                </c:pt>
                <c:pt idx="16">
                  <c:v>420</c:v>
                </c:pt>
                <c:pt idx="17">
                  <c:v>440</c:v>
                </c:pt>
                <c:pt idx="18">
                  <c:v>460</c:v>
                </c:pt>
                <c:pt idx="19">
                  <c:v>480</c:v>
                </c:pt>
                <c:pt idx="20">
                  <c:v>500</c:v>
                </c:pt>
                <c:pt idx="21">
                  <c:v>520</c:v>
                </c:pt>
                <c:pt idx="22">
                  <c:v>540</c:v>
                </c:pt>
                <c:pt idx="23">
                  <c:v>560</c:v>
                </c:pt>
                <c:pt idx="24">
                  <c:v>580</c:v>
                </c:pt>
                <c:pt idx="25">
                  <c:v>600</c:v>
                </c:pt>
                <c:pt idx="26">
                  <c:v>620</c:v>
                </c:pt>
                <c:pt idx="27">
                  <c:v>640</c:v>
                </c:pt>
                <c:pt idx="28">
                  <c:v>660</c:v>
                </c:pt>
                <c:pt idx="29">
                  <c:v>680</c:v>
                </c:pt>
                <c:pt idx="30">
                  <c:v>700</c:v>
                </c:pt>
                <c:pt idx="31">
                  <c:v>720</c:v>
                </c:pt>
                <c:pt idx="32">
                  <c:v>740</c:v>
                </c:pt>
                <c:pt idx="33">
                  <c:v>760</c:v>
                </c:pt>
                <c:pt idx="34">
                  <c:v>780</c:v>
                </c:pt>
                <c:pt idx="35">
                  <c:v>800</c:v>
                </c:pt>
                <c:pt idx="36">
                  <c:v>820</c:v>
                </c:pt>
                <c:pt idx="37">
                  <c:v>840</c:v>
                </c:pt>
                <c:pt idx="38">
                  <c:v>860</c:v>
                </c:pt>
                <c:pt idx="39">
                  <c:v>880</c:v>
                </c:pt>
                <c:pt idx="40">
                  <c:v>900</c:v>
                </c:pt>
                <c:pt idx="41">
                  <c:v>920</c:v>
                </c:pt>
                <c:pt idx="42">
                  <c:v>940</c:v>
                </c:pt>
                <c:pt idx="43">
                  <c:v>960</c:v>
                </c:pt>
                <c:pt idx="44">
                  <c:v>980</c:v>
                </c:pt>
                <c:pt idx="45">
                  <c:v>1000</c:v>
                </c:pt>
                <c:pt idx="46">
                  <c:v>1020</c:v>
                </c:pt>
                <c:pt idx="47">
                  <c:v>1040</c:v>
                </c:pt>
                <c:pt idx="48">
                  <c:v>1060</c:v>
                </c:pt>
                <c:pt idx="49">
                  <c:v>1080</c:v>
                </c:pt>
                <c:pt idx="50">
                  <c:v>1100</c:v>
                </c:pt>
                <c:pt idx="51">
                  <c:v>1120</c:v>
                </c:pt>
                <c:pt idx="52">
                  <c:v>1140</c:v>
                </c:pt>
                <c:pt idx="53">
                  <c:v>1160</c:v>
                </c:pt>
                <c:pt idx="54">
                  <c:v>1180</c:v>
                </c:pt>
                <c:pt idx="55">
                  <c:v>1200</c:v>
                </c:pt>
                <c:pt idx="56">
                  <c:v>1220</c:v>
                </c:pt>
                <c:pt idx="57">
                  <c:v>1240</c:v>
                </c:pt>
                <c:pt idx="58">
                  <c:v>1260</c:v>
                </c:pt>
                <c:pt idx="59">
                  <c:v>1280</c:v>
                </c:pt>
                <c:pt idx="60">
                  <c:v>1300</c:v>
                </c:pt>
                <c:pt idx="61">
                  <c:v>1320</c:v>
                </c:pt>
                <c:pt idx="62">
                  <c:v>1340</c:v>
                </c:pt>
                <c:pt idx="63">
                  <c:v>1360</c:v>
                </c:pt>
                <c:pt idx="64">
                  <c:v>1380</c:v>
                </c:pt>
                <c:pt idx="65">
                  <c:v>1400</c:v>
                </c:pt>
                <c:pt idx="66">
                  <c:v>1420</c:v>
                </c:pt>
                <c:pt idx="67">
                  <c:v>1440</c:v>
                </c:pt>
                <c:pt idx="68">
                  <c:v>1460</c:v>
                </c:pt>
                <c:pt idx="69">
                  <c:v>1480</c:v>
                </c:pt>
                <c:pt idx="70">
                  <c:v>1500</c:v>
                </c:pt>
                <c:pt idx="71">
                  <c:v>1520</c:v>
                </c:pt>
                <c:pt idx="72">
                  <c:v>1540</c:v>
                </c:pt>
                <c:pt idx="73">
                  <c:v>1560</c:v>
                </c:pt>
                <c:pt idx="74">
                  <c:v>1580</c:v>
                </c:pt>
                <c:pt idx="75">
                  <c:v>1600</c:v>
                </c:pt>
                <c:pt idx="76">
                  <c:v>1620</c:v>
                </c:pt>
                <c:pt idx="77">
                  <c:v>1640</c:v>
                </c:pt>
                <c:pt idx="78">
                  <c:v>1660</c:v>
                </c:pt>
                <c:pt idx="79">
                  <c:v>1680</c:v>
                </c:pt>
                <c:pt idx="80">
                  <c:v>1700</c:v>
                </c:pt>
                <c:pt idx="81">
                  <c:v>1720</c:v>
                </c:pt>
                <c:pt idx="82">
                  <c:v>1740</c:v>
                </c:pt>
                <c:pt idx="83">
                  <c:v>1760</c:v>
                </c:pt>
                <c:pt idx="84">
                  <c:v>1780</c:v>
                </c:pt>
                <c:pt idx="85">
                  <c:v>1800</c:v>
                </c:pt>
                <c:pt idx="86">
                  <c:v>1820</c:v>
                </c:pt>
                <c:pt idx="87">
                  <c:v>1840</c:v>
                </c:pt>
                <c:pt idx="88">
                  <c:v>1860</c:v>
                </c:pt>
                <c:pt idx="89">
                  <c:v>1880</c:v>
                </c:pt>
                <c:pt idx="90">
                  <c:v>1900</c:v>
                </c:pt>
                <c:pt idx="91">
                  <c:v>1920</c:v>
                </c:pt>
                <c:pt idx="92">
                  <c:v>1940</c:v>
                </c:pt>
                <c:pt idx="93">
                  <c:v>1960</c:v>
                </c:pt>
                <c:pt idx="94">
                  <c:v>1980</c:v>
                </c:pt>
                <c:pt idx="95">
                  <c:v>2000</c:v>
                </c:pt>
              </c:numCache>
            </c:numRef>
          </c:yVal>
          <c:smooth val="0"/>
        </c:ser>
        <c:dLbls>
          <c:showLegendKey val="0"/>
          <c:showVal val="0"/>
          <c:showCatName val="0"/>
          <c:showSerName val="0"/>
          <c:showPercent val="0"/>
          <c:showBubbleSize val="0"/>
        </c:dLbls>
        <c:axId val="181493120"/>
        <c:axId val="181503104"/>
      </c:scatterChart>
      <c:valAx>
        <c:axId val="181493120"/>
        <c:scaling>
          <c:orientation val="minMax"/>
        </c:scaling>
        <c:delete val="0"/>
        <c:axPos val="b"/>
        <c:numFmt formatCode="0" sourceLinked="1"/>
        <c:majorTickMark val="out"/>
        <c:minorTickMark val="none"/>
        <c:tickLblPos val="nextTo"/>
        <c:crossAx val="181503104"/>
        <c:crosses val="autoZero"/>
        <c:crossBetween val="midCat"/>
      </c:valAx>
      <c:valAx>
        <c:axId val="181503104"/>
        <c:scaling>
          <c:orientation val="minMax"/>
        </c:scaling>
        <c:delete val="0"/>
        <c:axPos val="l"/>
        <c:majorGridlines/>
        <c:numFmt formatCode="General" sourceLinked="1"/>
        <c:majorTickMark val="out"/>
        <c:minorTickMark val="none"/>
        <c:tickLblPos val="nextTo"/>
        <c:crossAx val="181493120"/>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808230145353283"/>
          <c:y val="8.32682595163491E-2"/>
        </c:manualLayout>
      </c:layout>
      <c:overlay val="0"/>
      <c:txPr>
        <a:bodyPr/>
        <a:lstStyle/>
        <a:p>
          <a:pPr>
            <a:defRPr sz="3200">
              <a:solidFill>
                <a:srgbClr val="C00000"/>
              </a:solidFill>
            </a:defRPr>
          </a:pPr>
          <a:endParaRPr lang="fr-FR"/>
        </a:p>
      </c:txPr>
    </c:title>
    <c:autoTitleDeleted val="0"/>
    <c:plotArea>
      <c:layout>
        <c:manualLayout>
          <c:layoutTarget val="inner"/>
          <c:xMode val="edge"/>
          <c:yMode val="edge"/>
          <c:x val="7.0973060882727076E-2"/>
          <c:y val="7.4565268820368402E-2"/>
          <c:w val="0.94421932901951611"/>
          <c:h val="0.91149636774175713"/>
        </c:manualLayout>
      </c:layout>
      <c:scatterChart>
        <c:scatterStyle val="lineMarker"/>
        <c:varyColors val="0"/>
        <c:ser>
          <c:idx val="0"/>
          <c:order val="0"/>
          <c:tx>
            <c:v>TMP36</c:v>
          </c:tx>
          <c:marker>
            <c:symbol val="none"/>
          </c:marker>
          <c:trendline>
            <c:trendlineType val="linear"/>
            <c:dispRSqr val="0"/>
            <c:dispEq val="1"/>
            <c:trendlineLbl>
              <c:layout>
                <c:manualLayout>
                  <c:x val="-0.18580465607422189"/>
                  <c:y val="0.16920602075412194"/>
                </c:manualLayout>
              </c:layout>
              <c:numFmt formatCode="#,##0.00000000" sourceLinked="0"/>
              <c:txPr>
                <a:bodyPr/>
                <a:lstStyle/>
                <a:p>
                  <a:pPr>
                    <a:defRPr sz="2800"/>
                  </a:pPr>
                  <a:endParaRPr lang="fr-FR"/>
                </a:p>
              </c:txPr>
            </c:trendlineLbl>
          </c:trendline>
          <c:xVal>
            <c:numRef>
              <c:f>'TMP36'!$I$9:$FR$9</c:f>
              <c:numCache>
                <c:formatCode>0</c:formatCode>
                <c:ptCount val="166"/>
                <c:pt idx="0">
                  <c:v>1600</c:v>
                </c:pt>
                <c:pt idx="1">
                  <c:v>1760</c:v>
                </c:pt>
                <c:pt idx="2">
                  <c:v>1920</c:v>
                </c:pt>
                <c:pt idx="3">
                  <c:v>2080</c:v>
                </c:pt>
                <c:pt idx="4">
                  <c:v>2240</c:v>
                </c:pt>
                <c:pt idx="5">
                  <c:v>2400</c:v>
                </c:pt>
                <c:pt idx="6">
                  <c:v>2560</c:v>
                </c:pt>
                <c:pt idx="7">
                  <c:v>2720</c:v>
                </c:pt>
                <c:pt idx="8">
                  <c:v>2880</c:v>
                </c:pt>
                <c:pt idx="9">
                  <c:v>3040</c:v>
                </c:pt>
                <c:pt idx="10">
                  <c:v>3200</c:v>
                </c:pt>
                <c:pt idx="11">
                  <c:v>3360</c:v>
                </c:pt>
                <c:pt idx="12">
                  <c:v>3520</c:v>
                </c:pt>
                <c:pt idx="13">
                  <c:v>3680</c:v>
                </c:pt>
                <c:pt idx="14">
                  <c:v>3840</c:v>
                </c:pt>
                <c:pt idx="15">
                  <c:v>4000</c:v>
                </c:pt>
                <c:pt idx="16">
                  <c:v>4160</c:v>
                </c:pt>
                <c:pt idx="17">
                  <c:v>4320</c:v>
                </c:pt>
                <c:pt idx="18">
                  <c:v>4480</c:v>
                </c:pt>
                <c:pt idx="19">
                  <c:v>4640</c:v>
                </c:pt>
                <c:pt idx="20">
                  <c:v>4800</c:v>
                </c:pt>
                <c:pt idx="21">
                  <c:v>4960</c:v>
                </c:pt>
                <c:pt idx="22">
                  <c:v>5120</c:v>
                </c:pt>
                <c:pt idx="23">
                  <c:v>5280</c:v>
                </c:pt>
                <c:pt idx="24">
                  <c:v>5440</c:v>
                </c:pt>
                <c:pt idx="25">
                  <c:v>5600</c:v>
                </c:pt>
                <c:pt idx="26">
                  <c:v>5760</c:v>
                </c:pt>
                <c:pt idx="27">
                  <c:v>5920</c:v>
                </c:pt>
                <c:pt idx="28">
                  <c:v>6080</c:v>
                </c:pt>
                <c:pt idx="29">
                  <c:v>6240</c:v>
                </c:pt>
                <c:pt idx="30">
                  <c:v>6400</c:v>
                </c:pt>
                <c:pt idx="31">
                  <c:v>6560</c:v>
                </c:pt>
                <c:pt idx="32">
                  <c:v>6720</c:v>
                </c:pt>
                <c:pt idx="33">
                  <c:v>6880</c:v>
                </c:pt>
                <c:pt idx="34">
                  <c:v>7040</c:v>
                </c:pt>
                <c:pt idx="35">
                  <c:v>7200</c:v>
                </c:pt>
                <c:pt idx="36">
                  <c:v>7360</c:v>
                </c:pt>
                <c:pt idx="37">
                  <c:v>7520</c:v>
                </c:pt>
                <c:pt idx="38">
                  <c:v>7680</c:v>
                </c:pt>
                <c:pt idx="39">
                  <c:v>7840</c:v>
                </c:pt>
                <c:pt idx="40">
                  <c:v>8000</c:v>
                </c:pt>
                <c:pt idx="41">
                  <c:v>8160</c:v>
                </c:pt>
                <c:pt idx="42">
                  <c:v>8320</c:v>
                </c:pt>
                <c:pt idx="43">
                  <c:v>8480</c:v>
                </c:pt>
                <c:pt idx="44">
                  <c:v>8640</c:v>
                </c:pt>
                <c:pt idx="45">
                  <c:v>8800</c:v>
                </c:pt>
                <c:pt idx="46">
                  <c:v>8960</c:v>
                </c:pt>
                <c:pt idx="47">
                  <c:v>9120</c:v>
                </c:pt>
                <c:pt idx="48">
                  <c:v>9280</c:v>
                </c:pt>
                <c:pt idx="49">
                  <c:v>9440</c:v>
                </c:pt>
                <c:pt idx="50">
                  <c:v>9600</c:v>
                </c:pt>
                <c:pt idx="51">
                  <c:v>9760</c:v>
                </c:pt>
                <c:pt idx="52">
                  <c:v>9920</c:v>
                </c:pt>
                <c:pt idx="53">
                  <c:v>10080</c:v>
                </c:pt>
                <c:pt idx="54">
                  <c:v>10240</c:v>
                </c:pt>
                <c:pt idx="55">
                  <c:v>10400</c:v>
                </c:pt>
                <c:pt idx="56">
                  <c:v>10560</c:v>
                </c:pt>
                <c:pt idx="57">
                  <c:v>10720</c:v>
                </c:pt>
                <c:pt idx="58">
                  <c:v>10880</c:v>
                </c:pt>
                <c:pt idx="59">
                  <c:v>11040</c:v>
                </c:pt>
                <c:pt idx="60">
                  <c:v>11200</c:v>
                </c:pt>
                <c:pt idx="61">
                  <c:v>11360</c:v>
                </c:pt>
                <c:pt idx="62">
                  <c:v>11520</c:v>
                </c:pt>
                <c:pt idx="63">
                  <c:v>11680</c:v>
                </c:pt>
                <c:pt idx="64">
                  <c:v>11840</c:v>
                </c:pt>
                <c:pt idx="65">
                  <c:v>12000</c:v>
                </c:pt>
                <c:pt idx="66">
                  <c:v>12160</c:v>
                </c:pt>
                <c:pt idx="67">
                  <c:v>12320</c:v>
                </c:pt>
                <c:pt idx="68">
                  <c:v>12480</c:v>
                </c:pt>
                <c:pt idx="69">
                  <c:v>12640</c:v>
                </c:pt>
                <c:pt idx="70">
                  <c:v>12800</c:v>
                </c:pt>
                <c:pt idx="71">
                  <c:v>12960</c:v>
                </c:pt>
                <c:pt idx="72">
                  <c:v>13120</c:v>
                </c:pt>
                <c:pt idx="73">
                  <c:v>13280</c:v>
                </c:pt>
                <c:pt idx="74">
                  <c:v>13440</c:v>
                </c:pt>
                <c:pt idx="75">
                  <c:v>13600</c:v>
                </c:pt>
                <c:pt idx="76">
                  <c:v>13760</c:v>
                </c:pt>
                <c:pt idx="77">
                  <c:v>13920</c:v>
                </c:pt>
                <c:pt idx="78">
                  <c:v>14080</c:v>
                </c:pt>
                <c:pt idx="79">
                  <c:v>14240</c:v>
                </c:pt>
                <c:pt idx="80">
                  <c:v>14400</c:v>
                </c:pt>
                <c:pt idx="81">
                  <c:v>14560</c:v>
                </c:pt>
                <c:pt idx="82">
                  <c:v>14720</c:v>
                </c:pt>
                <c:pt idx="83">
                  <c:v>14880</c:v>
                </c:pt>
                <c:pt idx="84">
                  <c:v>15040</c:v>
                </c:pt>
                <c:pt idx="85">
                  <c:v>15200</c:v>
                </c:pt>
                <c:pt idx="86">
                  <c:v>15360</c:v>
                </c:pt>
                <c:pt idx="87">
                  <c:v>15520</c:v>
                </c:pt>
                <c:pt idx="88">
                  <c:v>15680</c:v>
                </c:pt>
                <c:pt idx="89">
                  <c:v>15840</c:v>
                </c:pt>
                <c:pt idx="90">
                  <c:v>16000</c:v>
                </c:pt>
                <c:pt idx="91">
                  <c:v>16160</c:v>
                </c:pt>
                <c:pt idx="92">
                  <c:v>16320</c:v>
                </c:pt>
                <c:pt idx="93">
                  <c:v>16480</c:v>
                </c:pt>
                <c:pt idx="94">
                  <c:v>16640</c:v>
                </c:pt>
                <c:pt idx="95">
                  <c:v>16800</c:v>
                </c:pt>
                <c:pt idx="96">
                  <c:v>16960</c:v>
                </c:pt>
                <c:pt idx="97">
                  <c:v>17120</c:v>
                </c:pt>
                <c:pt idx="98">
                  <c:v>17280</c:v>
                </c:pt>
                <c:pt idx="99">
                  <c:v>17440</c:v>
                </c:pt>
                <c:pt idx="100">
                  <c:v>17600</c:v>
                </c:pt>
                <c:pt idx="101">
                  <c:v>17760</c:v>
                </c:pt>
                <c:pt idx="102">
                  <c:v>17920</c:v>
                </c:pt>
                <c:pt idx="103">
                  <c:v>18080</c:v>
                </c:pt>
                <c:pt idx="104">
                  <c:v>18240</c:v>
                </c:pt>
                <c:pt idx="105">
                  <c:v>18400</c:v>
                </c:pt>
                <c:pt idx="106">
                  <c:v>18560</c:v>
                </c:pt>
                <c:pt idx="107">
                  <c:v>18720</c:v>
                </c:pt>
                <c:pt idx="108">
                  <c:v>18880</c:v>
                </c:pt>
                <c:pt idx="109">
                  <c:v>19040</c:v>
                </c:pt>
                <c:pt idx="110">
                  <c:v>19200</c:v>
                </c:pt>
                <c:pt idx="111">
                  <c:v>19360</c:v>
                </c:pt>
                <c:pt idx="112">
                  <c:v>19520</c:v>
                </c:pt>
                <c:pt idx="113">
                  <c:v>19680</c:v>
                </c:pt>
                <c:pt idx="114">
                  <c:v>19840</c:v>
                </c:pt>
                <c:pt idx="115">
                  <c:v>20000</c:v>
                </c:pt>
                <c:pt idx="116">
                  <c:v>20160</c:v>
                </c:pt>
                <c:pt idx="117">
                  <c:v>20320</c:v>
                </c:pt>
                <c:pt idx="118">
                  <c:v>20480</c:v>
                </c:pt>
                <c:pt idx="119">
                  <c:v>20640</c:v>
                </c:pt>
                <c:pt idx="120">
                  <c:v>20800</c:v>
                </c:pt>
                <c:pt idx="121">
                  <c:v>20960</c:v>
                </c:pt>
                <c:pt idx="122">
                  <c:v>21120</c:v>
                </c:pt>
                <c:pt idx="123">
                  <c:v>21280</c:v>
                </c:pt>
                <c:pt idx="124">
                  <c:v>21440</c:v>
                </c:pt>
                <c:pt idx="125">
                  <c:v>21600</c:v>
                </c:pt>
                <c:pt idx="126">
                  <c:v>21760</c:v>
                </c:pt>
                <c:pt idx="127">
                  <c:v>21920</c:v>
                </c:pt>
                <c:pt idx="128">
                  <c:v>22080</c:v>
                </c:pt>
                <c:pt idx="129">
                  <c:v>22240</c:v>
                </c:pt>
                <c:pt idx="130">
                  <c:v>22400</c:v>
                </c:pt>
                <c:pt idx="131">
                  <c:v>22560</c:v>
                </c:pt>
                <c:pt idx="132">
                  <c:v>22720</c:v>
                </c:pt>
                <c:pt idx="133">
                  <c:v>22880</c:v>
                </c:pt>
                <c:pt idx="134">
                  <c:v>23040</c:v>
                </c:pt>
                <c:pt idx="135">
                  <c:v>23200</c:v>
                </c:pt>
                <c:pt idx="136">
                  <c:v>23360</c:v>
                </c:pt>
                <c:pt idx="137">
                  <c:v>23520</c:v>
                </c:pt>
                <c:pt idx="138">
                  <c:v>23680</c:v>
                </c:pt>
                <c:pt idx="139">
                  <c:v>23840</c:v>
                </c:pt>
                <c:pt idx="140">
                  <c:v>24000</c:v>
                </c:pt>
                <c:pt idx="141">
                  <c:v>24160</c:v>
                </c:pt>
                <c:pt idx="142">
                  <c:v>24320</c:v>
                </c:pt>
                <c:pt idx="143">
                  <c:v>24480</c:v>
                </c:pt>
                <c:pt idx="144">
                  <c:v>24640</c:v>
                </c:pt>
                <c:pt idx="145">
                  <c:v>24800</c:v>
                </c:pt>
                <c:pt idx="146">
                  <c:v>24960</c:v>
                </c:pt>
                <c:pt idx="147">
                  <c:v>25120</c:v>
                </c:pt>
                <c:pt idx="148">
                  <c:v>25280</c:v>
                </c:pt>
                <c:pt idx="149">
                  <c:v>25440</c:v>
                </c:pt>
                <c:pt idx="150">
                  <c:v>25600</c:v>
                </c:pt>
                <c:pt idx="151">
                  <c:v>25760</c:v>
                </c:pt>
                <c:pt idx="152">
                  <c:v>25920</c:v>
                </c:pt>
                <c:pt idx="153">
                  <c:v>26080</c:v>
                </c:pt>
                <c:pt idx="154">
                  <c:v>26240</c:v>
                </c:pt>
                <c:pt idx="155">
                  <c:v>26400</c:v>
                </c:pt>
                <c:pt idx="156">
                  <c:v>26560</c:v>
                </c:pt>
                <c:pt idx="157">
                  <c:v>26720</c:v>
                </c:pt>
                <c:pt idx="158">
                  <c:v>26880</c:v>
                </c:pt>
                <c:pt idx="159">
                  <c:v>27040</c:v>
                </c:pt>
                <c:pt idx="160">
                  <c:v>27200</c:v>
                </c:pt>
                <c:pt idx="161">
                  <c:v>27360</c:v>
                </c:pt>
                <c:pt idx="162">
                  <c:v>27520</c:v>
                </c:pt>
                <c:pt idx="163">
                  <c:v>27680</c:v>
                </c:pt>
                <c:pt idx="164">
                  <c:v>27840</c:v>
                </c:pt>
                <c:pt idx="165">
                  <c:v>28000</c:v>
                </c:pt>
              </c:numCache>
            </c:numRef>
          </c:xVal>
          <c:yVal>
            <c:numRef>
              <c:f>'TMP36'!$I$8:$FR$8</c:f>
              <c:numCache>
                <c:formatCode>0\°\C</c:formatCode>
                <c:ptCount val="166"/>
                <c:pt idx="0">
                  <c:v>-40</c:v>
                </c:pt>
                <c:pt idx="1">
                  <c:v>-39</c:v>
                </c:pt>
                <c:pt idx="2">
                  <c:v>-38</c:v>
                </c:pt>
                <c:pt idx="3">
                  <c:v>-37</c:v>
                </c:pt>
                <c:pt idx="4">
                  <c:v>-36</c:v>
                </c:pt>
                <c:pt idx="5">
                  <c:v>-35</c:v>
                </c:pt>
                <c:pt idx="6">
                  <c:v>-34</c:v>
                </c:pt>
                <c:pt idx="7">
                  <c:v>-33</c:v>
                </c:pt>
                <c:pt idx="8">
                  <c:v>-32</c:v>
                </c:pt>
                <c:pt idx="9">
                  <c:v>-31</c:v>
                </c:pt>
                <c:pt idx="10">
                  <c:v>-30</c:v>
                </c:pt>
                <c:pt idx="11">
                  <c:v>-29</c:v>
                </c:pt>
                <c:pt idx="12">
                  <c:v>-28</c:v>
                </c:pt>
                <c:pt idx="13">
                  <c:v>-27</c:v>
                </c:pt>
                <c:pt idx="14">
                  <c:v>-26</c:v>
                </c:pt>
                <c:pt idx="15">
                  <c:v>-25</c:v>
                </c:pt>
                <c:pt idx="16">
                  <c:v>-24</c:v>
                </c:pt>
                <c:pt idx="17">
                  <c:v>-23</c:v>
                </c:pt>
                <c:pt idx="18">
                  <c:v>-22</c:v>
                </c:pt>
                <c:pt idx="19">
                  <c:v>-21</c:v>
                </c:pt>
                <c:pt idx="20">
                  <c:v>-20</c:v>
                </c:pt>
                <c:pt idx="21">
                  <c:v>-19</c:v>
                </c:pt>
                <c:pt idx="22">
                  <c:v>-18</c:v>
                </c:pt>
                <c:pt idx="23">
                  <c:v>-17</c:v>
                </c:pt>
                <c:pt idx="24">
                  <c:v>-16</c:v>
                </c:pt>
                <c:pt idx="25">
                  <c:v>-15</c:v>
                </c:pt>
                <c:pt idx="26">
                  <c:v>-14</c:v>
                </c:pt>
                <c:pt idx="27">
                  <c:v>-13</c:v>
                </c:pt>
                <c:pt idx="28">
                  <c:v>-12</c:v>
                </c:pt>
                <c:pt idx="29">
                  <c:v>-11</c:v>
                </c:pt>
                <c:pt idx="30">
                  <c:v>-10</c:v>
                </c:pt>
                <c:pt idx="31">
                  <c:v>-9</c:v>
                </c:pt>
                <c:pt idx="32">
                  <c:v>-8</c:v>
                </c:pt>
                <c:pt idx="33">
                  <c:v>-7</c:v>
                </c:pt>
                <c:pt idx="34">
                  <c:v>-6</c:v>
                </c:pt>
                <c:pt idx="35">
                  <c:v>-5</c:v>
                </c:pt>
                <c:pt idx="36">
                  <c:v>-4</c:v>
                </c:pt>
                <c:pt idx="37">
                  <c:v>-3</c:v>
                </c:pt>
                <c:pt idx="38">
                  <c:v>-2</c:v>
                </c:pt>
                <c:pt idx="39">
                  <c:v>-1</c:v>
                </c:pt>
                <c:pt idx="40">
                  <c:v>0</c:v>
                </c:pt>
                <c:pt idx="41">
                  <c:v>1</c:v>
                </c:pt>
                <c:pt idx="42">
                  <c:v>2</c:v>
                </c:pt>
                <c:pt idx="43">
                  <c:v>3</c:v>
                </c:pt>
                <c:pt idx="44">
                  <c:v>4</c:v>
                </c:pt>
                <c:pt idx="45">
                  <c:v>5</c:v>
                </c:pt>
                <c:pt idx="46">
                  <c:v>6</c:v>
                </c:pt>
                <c:pt idx="47">
                  <c:v>7</c:v>
                </c:pt>
                <c:pt idx="48">
                  <c:v>8</c:v>
                </c:pt>
                <c:pt idx="49">
                  <c:v>9</c:v>
                </c:pt>
                <c:pt idx="50">
                  <c:v>10</c:v>
                </c:pt>
                <c:pt idx="51">
                  <c:v>11</c:v>
                </c:pt>
                <c:pt idx="52">
                  <c:v>12</c:v>
                </c:pt>
                <c:pt idx="53">
                  <c:v>13</c:v>
                </c:pt>
                <c:pt idx="54">
                  <c:v>14</c:v>
                </c:pt>
                <c:pt idx="55">
                  <c:v>15</c:v>
                </c:pt>
                <c:pt idx="56">
                  <c:v>16</c:v>
                </c:pt>
                <c:pt idx="57">
                  <c:v>17</c:v>
                </c:pt>
                <c:pt idx="58">
                  <c:v>18</c:v>
                </c:pt>
                <c:pt idx="59">
                  <c:v>19</c:v>
                </c:pt>
                <c:pt idx="60">
                  <c:v>20</c:v>
                </c:pt>
                <c:pt idx="61">
                  <c:v>21</c:v>
                </c:pt>
                <c:pt idx="62">
                  <c:v>22</c:v>
                </c:pt>
                <c:pt idx="63">
                  <c:v>23</c:v>
                </c:pt>
                <c:pt idx="64">
                  <c:v>24</c:v>
                </c:pt>
                <c:pt idx="65">
                  <c:v>25</c:v>
                </c:pt>
                <c:pt idx="66">
                  <c:v>26</c:v>
                </c:pt>
                <c:pt idx="67">
                  <c:v>27</c:v>
                </c:pt>
                <c:pt idx="68">
                  <c:v>28</c:v>
                </c:pt>
                <c:pt idx="69">
                  <c:v>29</c:v>
                </c:pt>
                <c:pt idx="70">
                  <c:v>30</c:v>
                </c:pt>
                <c:pt idx="71">
                  <c:v>31</c:v>
                </c:pt>
                <c:pt idx="72">
                  <c:v>32</c:v>
                </c:pt>
                <c:pt idx="73">
                  <c:v>33</c:v>
                </c:pt>
                <c:pt idx="74">
                  <c:v>34</c:v>
                </c:pt>
                <c:pt idx="75">
                  <c:v>35</c:v>
                </c:pt>
                <c:pt idx="76">
                  <c:v>36</c:v>
                </c:pt>
                <c:pt idx="77">
                  <c:v>37</c:v>
                </c:pt>
                <c:pt idx="78">
                  <c:v>38</c:v>
                </c:pt>
                <c:pt idx="79">
                  <c:v>39</c:v>
                </c:pt>
                <c:pt idx="80">
                  <c:v>40</c:v>
                </c:pt>
                <c:pt idx="81">
                  <c:v>41</c:v>
                </c:pt>
                <c:pt idx="82">
                  <c:v>42</c:v>
                </c:pt>
                <c:pt idx="83">
                  <c:v>43</c:v>
                </c:pt>
                <c:pt idx="84">
                  <c:v>44</c:v>
                </c:pt>
                <c:pt idx="85">
                  <c:v>45</c:v>
                </c:pt>
                <c:pt idx="86">
                  <c:v>46</c:v>
                </c:pt>
                <c:pt idx="87">
                  <c:v>47</c:v>
                </c:pt>
                <c:pt idx="88">
                  <c:v>48</c:v>
                </c:pt>
                <c:pt idx="89">
                  <c:v>49</c:v>
                </c:pt>
                <c:pt idx="90">
                  <c:v>50</c:v>
                </c:pt>
                <c:pt idx="91">
                  <c:v>51</c:v>
                </c:pt>
                <c:pt idx="92">
                  <c:v>52</c:v>
                </c:pt>
                <c:pt idx="93">
                  <c:v>53</c:v>
                </c:pt>
                <c:pt idx="94">
                  <c:v>54</c:v>
                </c:pt>
                <c:pt idx="95">
                  <c:v>55</c:v>
                </c:pt>
                <c:pt idx="96">
                  <c:v>56</c:v>
                </c:pt>
                <c:pt idx="97">
                  <c:v>57</c:v>
                </c:pt>
                <c:pt idx="98">
                  <c:v>58</c:v>
                </c:pt>
                <c:pt idx="99">
                  <c:v>59</c:v>
                </c:pt>
                <c:pt idx="100">
                  <c:v>60</c:v>
                </c:pt>
                <c:pt idx="101">
                  <c:v>61</c:v>
                </c:pt>
                <c:pt idx="102">
                  <c:v>62</c:v>
                </c:pt>
                <c:pt idx="103">
                  <c:v>63</c:v>
                </c:pt>
                <c:pt idx="104">
                  <c:v>64</c:v>
                </c:pt>
                <c:pt idx="105">
                  <c:v>65</c:v>
                </c:pt>
                <c:pt idx="106">
                  <c:v>66</c:v>
                </c:pt>
                <c:pt idx="107">
                  <c:v>67</c:v>
                </c:pt>
                <c:pt idx="108">
                  <c:v>68</c:v>
                </c:pt>
                <c:pt idx="109">
                  <c:v>69</c:v>
                </c:pt>
                <c:pt idx="110">
                  <c:v>70</c:v>
                </c:pt>
                <c:pt idx="111">
                  <c:v>71</c:v>
                </c:pt>
                <c:pt idx="112">
                  <c:v>72</c:v>
                </c:pt>
                <c:pt idx="113">
                  <c:v>73</c:v>
                </c:pt>
                <c:pt idx="114">
                  <c:v>74</c:v>
                </c:pt>
                <c:pt idx="115">
                  <c:v>75</c:v>
                </c:pt>
                <c:pt idx="116">
                  <c:v>76</c:v>
                </c:pt>
                <c:pt idx="117">
                  <c:v>77</c:v>
                </c:pt>
                <c:pt idx="118">
                  <c:v>78</c:v>
                </c:pt>
                <c:pt idx="119">
                  <c:v>79</c:v>
                </c:pt>
                <c:pt idx="120">
                  <c:v>80</c:v>
                </c:pt>
                <c:pt idx="121">
                  <c:v>81</c:v>
                </c:pt>
                <c:pt idx="122">
                  <c:v>82</c:v>
                </c:pt>
                <c:pt idx="123">
                  <c:v>83</c:v>
                </c:pt>
                <c:pt idx="124">
                  <c:v>84</c:v>
                </c:pt>
                <c:pt idx="125">
                  <c:v>85</c:v>
                </c:pt>
                <c:pt idx="126">
                  <c:v>86</c:v>
                </c:pt>
                <c:pt idx="127">
                  <c:v>87</c:v>
                </c:pt>
                <c:pt idx="128">
                  <c:v>88</c:v>
                </c:pt>
                <c:pt idx="129">
                  <c:v>89</c:v>
                </c:pt>
                <c:pt idx="130">
                  <c:v>90</c:v>
                </c:pt>
                <c:pt idx="131">
                  <c:v>91</c:v>
                </c:pt>
                <c:pt idx="132">
                  <c:v>92</c:v>
                </c:pt>
                <c:pt idx="133">
                  <c:v>93</c:v>
                </c:pt>
                <c:pt idx="134">
                  <c:v>94</c:v>
                </c:pt>
                <c:pt idx="135">
                  <c:v>95</c:v>
                </c:pt>
                <c:pt idx="136">
                  <c:v>96</c:v>
                </c:pt>
                <c:pt idx="137">
                  <c:v>97</c:v>
                </c:pt>
                <c:pt idx="138">
                  <c:v>98</c:v>
                </c:pt>
                <c:pt idx="139">
                  <c:v>99</c:v>
                </c:pt>
                <c:pt idx="140">
                  <c:v>100</c:v>
                </c:pt>
                <c:pt idx="141">
                  <c:v>101</c:v>
                </c:pt>
                <c:pt idx="142">
                  <c:v>102</c:v>
                </c:pt>
                <c:pt idx="143">
                  <c:v>103</c:v>
                </c:pt>
                <c:pt idx="144">
                  <c:v>104</c:v>
                </c:pt>
                <c:pt idx="145">
                  <c:v>105</c:v>
                </c:pt>
                <c:pt idx="146">
                  <c:v>106</c:v>
                </c:pt>
                <c:pt idx="147">
                  <c:v>107</c:v>
                </c:pt>
                <c:pt idx="148">
                  <c:v>108</c:v>
                </c:pt>
                <c:pt idx="149">
                  <c:v>109</c:v>
                </c:pt>
                <c:pt idx="150">
                  <c:v>110</c:v>
                </c:pt>
                <c:pt idx="151">
                  <c:v>111</c:v>
                </c:pt>
                <c:pt idx="152">
                  <c:v>112</c:v>
                </c:pt>
                <c:pt idx="153">
                  <c:v>113</c:v>
                </c:pt>
                <c:pt idx="154">
                  <c:v>114</c:v>
                </c:pt>
                <c:pt idx="155">
                  <c:v>115</c:v>
                </c:pt>
                <c:pt idx="156">
                  <c:v>116</c:v>
                </c:pt>
                <c:pt idx="157">
                  <c:v>117</c:v>
                </c:pt>
                <c:pt idx="158">
                  <c:v>118</c:v>
                </c:pt>
                <c:pt idx="159">
                  <c:v>119</c:v>
                </c:pt>
                <c:pt idx="160">
                  <c:v>120</c:v>
                </c:pt>
                <c:pt idx="161">
                  <c:v>121</c:v>
                </c:pt>
                <c:pt idx="162">
                  <c:v>122</c:v>
                </c:pt>
                <c:pt idx="163">
                  <c:v>123</c:v>
                </c:pt>
                <c:pt idx="164">
                  <c:v>124</c:v>
                </c:pt>
                <c:pt idx="165">
                  <c:v>125</c:v>
                </c:pt>
              </c:numCache>
            </c:numRef>
          </c:yVal>
          <c:smooth val="0"/>
        </c:ser>
        <c:dLbls>
          <c:showLegendKey val="0"/>
          <c:showVal val="0"/>
          <c:showCatName val="0"/>
          <c:showSerName val="0"/>
          <c:showPercent val="0"/>
          <c:showBubbleSize val="0"/>
        </c:dLbls>
        <c:axId val="180204288"/>
        <c:axId val="180205824"/>
      </c:scatterChart>
      <c:valAx>
        <c:axId val="180204288"/>
        <c:scaling>
          <c:orientation val="minMax"/>
        </c:scaling>
        <c:delete val="0"/>
        <c:axPos val="b"/>
        <c:numFmt formatCode="0" sourceLinked="1"/>
        <c:majorTickMark val="out"/>
        <c:minorTickMark val="none"/>
        <c:tickLblPos val="nextTo"/>
        <c:crossAx val="180205824"/>
        <c:crosses val="autoZero"/>
        <c:crossBetween val="midCat"/>
      </c:valAx>
      <c:valAx>
        <c:axId val="180205824"/>
        <c:scaling>
          <c:orientation val="minMax"/>
          <c:min val="-40"/>
        </c:scaling>
        <c:delete val="0"/>
        <c:axPos val="l"/>
        <c:majorGridlines/>
        <c:numFmt formatCode="0\°\C" sourceLinked="1"/>
        <c:majorTickMark val="out"/>
        <c:minorTickMark val="none"/>
        <c:tickLblPos val="nextTo"/>
        <c:crossAx val="180204288"/>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4802394798689382"/>
          <c:y val="5.6426350859016733E-2"/>
        </c:manualLayout>
      </c:layout>
      <c:overlay val="0"/>
      <c:txPr>
        <a:bodyPr/>
        <a:lstStyle/>
        <a:p>
          <a:pPr>
            <a:defRPr sz="3200">
              <a:solidFill>
                <a:srgbClr val="C00000"/>
              </a:solidFill>
            </a:defRPr>
          </a:pPr>
          <a:endParaRPr lang="fr-FR"/>
        </a:p>
      </c:txPr>
    </c:title>
    <c:autoTitleDeleted val="0"/>
    <c:plotArea>
      <c:layout>
        <c:manualLayout>
          <c:layoutTarget val="inner"/>
          <c:xMode val="edge"/>
          <c:yMode val="edge"/>
          <c:x val="4.6829528503181707E-2"/>
          <c:y val="6.7652240882710976E-2"/>
          <c:w val="0.9283803508374403"/>
          <c:h val="0.89457523219538593"/>
        </c:manualLayout>
      </c:layout>
      <c:scatterChart>
        <c:scatterStyle val="lineMarker"/>
        <c:varyColors val="0"/>
        <c:ser>
          <c:idx val="0"/>
          <c:order val="0"/>
          <c:tx>
            <c:v>TMP36</c:v>
          </c:tx>
          <c:marker>
            <c:symbol val="none"/>
          </c:marker>
          <c:trendline>
            <c:trendlineType val="linear"/>
            <c:dispRSqr val="0"/>
            <c:dispEq val="1"/>
            <c:trendlineLbl>
              <c:layout>
                <c:manualLayout>
                  <c:x val="-6.8329840064955905E-2"/>
                  <c:y val="1.776182790460018E-2"/>
                </c:manualLayout>
              </c:layout>
              <c:numFmt formatCode="#,##0.00000000" sourceLinked="0"/>
              <c:txPr>
                <a:bodyPr/>
                <a:lstStyle/>
                <a:p>
                  <a:pPr>
                    <a:defRPr sz="2800"/>
                  </a:pPr>
                  <a:endParaRPr lang="fr-FR"/>
                </a:p>
              </c:txPr>
            </c:trendlineLbl>
          </c:trendline>
          <c:xVal>
            <c:numRef>
              <c:f>'TMP36'!$I$9:$FR$9</c:f>
              <c:numCache>
                <c:formatCode>0</c:formatCode>
                <c:ptCount val="166"/>
                <c:pt idx="0">
                  <c:v>1600</c:v>
                </c:pt>
                <c:pt idx="1">
                  <c:v>1760</c:v>
                </c:pt>
                <c:pt idx="2">
                  <c:v>1920</c:v>
                </c:pt>
                <c:pt idx="3">
                  <c:v>2080</c:v>
                </c:pt>
                <c:pt idx="4">
                  <c:v>2240</c:v>
                </c:pt>
                <c:pt idx="5">
                  <c:v>2400</c:v>
                </c:pt>
                <c:pt idx="6">
                  <c:v>2560</c:v>
                </c:pt>
                <c:pt idx="7">
                  <c:v>2720</c:v>
                </c:pt>
                <c:pt idx="8">
                  <c:v>2880</c:v>
                </c:pt>
                <c:pt idx="9">
                  <c:v>3040</c:v>
                </c:pt>
                <c:pt idx="10">
                  <c:v>3200</c:v>
                </c:pt>
                <c:pt idx="11">
                  <c:v>3360</c:v>
                </c:pt>
                <c:pt idx="12">
                  <c:v>3520</c:v>
                </c:pt>
                <c:pt idx="13">
                  <c:v>3680</c:v>
                </c:pt>
                <c:pt idx="14">
                  <c:v>3840</c:v>
                </c:pt>
                <c:pt idx="15">
                  <c:v>4000</c:v>
                </c:pt>
                <c:pt idx="16">
                  <c:v>4160</c:v>
                </c:pt>
                <c:pt idx="17">
                  <c:v>4320</c:v>
                </c:pt>
                <c:pt idx="18">
                  <c:v>4480</c:v>
                </c:pt>
                <c:pt idx="19">
                  <c:v>4640</c:v>
                </c:pt>
                <c:pt idx="20">
                  <c:v>4800</c:v>
                </c:pt>
                <c:pt idx="21">
                  <c:v>4960</c:v>
                </c:pt>
                <c:pt idx="22">
                  <c:v>5120</c:v>
                </c:pt>
                <c:pt idx="23">
                  <c:v>5280</c:v>
                </c:pt>
                <c:pt idx="24">
                  <c:v>5440</c:v>
                </c:pt>
                <c:pt idx="25">
                  <c:v>5600</c:v>
                </c:pt>
                <c:pt idx="26">
                  <c:v>5760</c:v>
                </c:pt>
                <c:pt idx="27">
                  <c:v>5920</c:v>
                </c:pt>
                <c:pt idx="28">
                  <c:v>6080</c:v>
                </c:pt>
                <c:pt idx="29">
                  <c:v>6240</c:v>
                </c:pt>
                <c:pt idx="30">
                  <c:v>6400</c:v>
                </c:pt>
                <c:pt idx="31">
                  <c:v>6560</c:v>
                </c:pt>
                <c:pt idx="32">
                  <c:v>6720</c:v>
                </c:pt>
                <c:pt idx="33">
                  <c:v>6880</c:v>
                </c:pt>
                <c:pt idx="34">
                  <c:v>7040</c:v>
                </c:pt>
                <c:pt idx="35">
                  <c:v>7200</c:v>
                </c:pt>
                <c:pt idx="36">
                  <c:v>7360</c:v>
                </c:pt>
                <c:pt idx="37">
                  <c:v>7520</c:v>
                </c:pt>
                <c:pt idx="38">
                  <c:v>7680</c:v>
                </c:pt>
                <c:pt idx="39">
                  <c:v>7840</c:v>
                </c:pt>
                <c:pt idx="40">
                  <c:v>8000</c:v>
                </c:pt>
                <c:pt idx="41">
                  <c:v>8160</c:v>
                </c:pt>
                <c:pt idx="42">
                  <c:v>8320</c:v>
                </c:pt>
                <c:pt idx="43">
                  <c:v>8480</c:v>
                </c:pt>
                <c:pt idx="44">
                  <c:v>8640</c:v>
                </c:pt>
                <c:pt idx="45">
                  <c:v>8800</c:v>
                </c:pt>
                <c:pt idx="46">
                  <c:v>8960</c:v>
                </c:pt>
                <c:pt idx="47">
                  <c:v>9120</c:v>
                </c:pt>
                <c:pt idx="48">
                  <c:v>9280</c:v>
                </c:pt>
                <c:pt idx="49">
                  <c:v>9440</c:v>
                </c:pt>
                <c:pt idx="50">
                  <c:v>9600</c:v>
                </c:pt>
                <c:pt idx="51">
                  <c:v>9760</c:v>
                </c:pt>
                <c:pt idx="52">
                  <c:v>9920</c:v>
                </c:pt>
                <c:pt idx="53">
                  <c:v>10080</c:v>
                </c:pt>
                <c:pt idx="54">
                  <c:v>10240</c:v>
                </c:pt>
                <c:pt idx="55">
                  <c:v>10400</c:v>
                </c:pt>
                <c:pt idx="56">
                  <c:v>10560</c:v>
                </c:pt>
                <c:pt idx="57">
                  <c:v>10720</c:v>
                </c:pt>
                <c:pt idx="58">
                  <c:v>10880</c:v>
                </c:pt>
                <c:pt idx="59">
                  <c:v>11040</c:v>
                </c:pt>
                <c:pt idx="60">
                  <c:v>11200</c:v>
                </c:pt>
                <c:pt idx="61">
                  <c:v>11360</c:v>
                </c:pt>
                <c:pt idx="62">
                  <c:v>11520</c:v>
                </c:pt>
                <c:pt idx="63">
                  <c:v>11680</c:v>
                </c:pt>
                <c:pt idx="64">
                  <c:v>11840</c:v>
                </c:pt>
                <c:pt idx="65">
                  <c:v>12000</c:v>
                </c:pt>
                <c:pt idx="66">
                  <c:v>12160</c:v>
                </c:pt>
                <c:pt idx="67">
                  <c:v>12320</c:v>
                </c:pt>
                <c:pt idx="68">
                  <c:v>12480</c:v>
                </c:pt>
                <c:pt idx="69">
                  <c:v>12640</c:v>
                </c:pt>
                <c:pt idx="70">
                  <c:v>12800</c:v>
                </c:pt>
                <c:pt idx="71">
                  <c:v>12960</c:v>
                </c:pt>
                <c:pt idx="72">
                  <c:v>13120</c:v>
                </c:pt>
                <c:pt idx="73">
                  <c:v>13280</c:v>
                </c:pt>
                <c:pt idx="74">
                  <c:v>13440</c:v>
                </c:pt>
                <c:pt idx="75">
                  <c:v>13600</c:v>
                </c:pt>
                <c:pt idx="76">
                  <c:v>13760</c:v>
                </c:pt>
                <c:pt idx="77">
                  <c:v>13920</c:v>
                </c:pt>
                <c:pt idx="78">
                  <c:v>14080</c:v>
                </c:pt>
                <c:pt idx="79">
                  <c:v>14240</c:v>
                </c:pt>
                <c:pt idx="80">
                  <c:v>14400</c:v>
                </c:pt>
                <c:pt idx="81">
                  <c:v>14560</c:v>
                </c:pt>
                <c:pt idx="82">
                  <c:v>14720</c:v>
                </c:pt>
                <c:pt idx="83">
                  <c:v>14880</c:v>
                </c:pt>
                <c:pt idx="84">
                  <c:v>15040</c:v>
                </c:pt>
                <c:pt idx="85">
                  <c:v>15200</c:v>
                </c:pt>
                <c:pt idx="86">
                  <c:v>15360</c:v>
                </c:pt>
                <c:pt idx="87">
                  <c:v>15520</c:v>
                </c:pt>
                <c:pt idx="88">
                  <c:v>15680</c:v>
                </c:pt>
                <c:pt idx="89">
                  <c:v>15840</c:v>
                </c:pt>
                <c:pt idx="90">
                  <c:v>16000</c:v>
                </c:pt>
                <c:pt idx="91">
                  <c:v>16160</c:v>
                </c:pt>
                <c:pt idx="92">
                  <c:v>16320</c:v>
                </c:pt>
                <c:pt idx="93">
                  <c:v>16480</c:v>
                </c:pt>
                <c:pt idx="94">
                  <c:v>16640</c:v>
                </c:pt>
                <c:pt idx="95">
                  <c:v>16800</c:v>
                </c:pt>
                <c:pt idx="96">
                  <c:v>16960</c:v>
                </c:pt>
                <c:pt idx="97">
                  <c:v>17120</c:v>
                </c:pt>
                <c:pt idx="98">
                  <c:v>17280</c:v>
                </c:pt>
                <c:pt idx="99">
                  <c:v>17440</c:v>
                </c:pt>
                <c:pt idx="100">
                  <c:v>17600</c:v>
                </c:pt>
                <c:pt idx="101">
                  <c:v>17760</c:v>
                </c:pt>
                <c:pt idx="102">
                  <c:v>17920</c:v>
                </c:pt>
                <c:pt idx="103">
                  <c:v>18080</c:v>
                </c:pt>
                <c:pt idx="104">
                  <c:v>18240</c:v>
                </c:pt>
                <c:pt idx="105">
                  <c:v>18400</c:v>
                </c:pt>
                <c:pt idx="106">
                  <c:v>18560</c:v>
                </c:pt>
                <c:pt idx="107">
                  <c:v>18720</c:v>
                </c:pt>
                <c:pt idx="108">
                  <c:v>18880</c:v>
                </c:pt>
                <c:pt idx="109">
                  <c:v>19040</c:v>
                </c:pt>
                <c:pt idx="110">
                  <c:v>19200</c:v>
                </c:pt>
                <c:pt idx="111">
                  <c:v>19360</c:v>
                </c:pt>
                <c:pt idx="112">
                  <c:v>19520</c:v>
                </c:pt>
                <c:pt idx="113">
                  <c:v>19680</c:v>
                </c:pt>
                <c:pt idx="114">
                  <c:v>19840</c:v>
                </c:pt>
                <c:pt idx="115">
                  <c:v>20000</c:v>
                </c:pt>
                <c:pt idx="116">
                  <c:v>20160</c:v>
                </c:pt>
                <c:pt idx="117">
                  <c:v>20320</c:v>
                </c:pt>
                <c:pt idx="118">
                  <c:v>20480</c:v>
                </c:pt>
                <c:pt idx="119">
                  <c:v>20640</c:v>
                </c:pt>
                <c:pt idx="120">
                  <c:v>20800</c:v>
                </c:pt>
                <c:pt idx="121">
                  <c:v>20960</c:v>
                </c:pt>
                <c:pt idx="122">
                  <c:v>21120</c:v>
                </c:pt>
                <c:pt idx="123">
                  <c:v>21280</c:v>
                </c:pt>
                <c:pt idx="124">
                  <c:v>21440</c:v>
                </c:pt>
                <c:pt idx="125">
                  <c:v>21600</c:v>
                </c:pt>
                <c:pt idx="126">
                  <c:v>21760</c:v>
                </c:pt>
                <c:pt idx="127">
                  <c:v>21920</c:v>
                </c:pt>
                <c:pt idx="128">
                  <c:v>22080</c:v>
                </c:pt>
                <c:pt idx="129">
                  <c:v>22240</c:v>
                </c:pt>
                <c:pt idx="130">
                  <c:v>22400</c:v>
                </c:pt>
                <c:pt idx="131">
                  <c:v>22560</c:v>
                </c:pt>
                <c:pt idx="132">
                  <c:v>22720</c:v>
                </c:pt>
                <c:pt idx="133">
                  <c:v>22880</c:v>
                </c:pt>
                <c:pt idx="134">
                  <c:v>23040</c:v>
                </c:pt>
                <c:pt idx="135">
                  <c:v>23200</c:v>
                </c:pt>
                <c:pt idx="136">
                  <c:v>23360</c:v>
                </c:pt>
                <c:pt idx="137">
                  <c:v>23520</c:v>
                </c:pt>
                <c:pt idx="138">
                  <c:v>23680</c:v>
                </c:pt>
                <c:pt idx="139">
                  <c:v>23840</c:v>
                </c:pt>
                <c:pt idx="140">
                  <c:v>24000</c:v>
                </c:pt>
                <c:pt idx="141">
                  <c:v>24160</c:v>
                </c:pt>
                <c:pt idx="142">
                  <c:v>24320</c:v>
                </c:pt>
                <c:pt idx="143">
                  <c:v>24480</c:v>
                </c:pt>
                <c:pt idx="144">
                  <c:v>24640</c:v>
                </c:pt>
                <c:pt idx="145">
                  <c:v>24800</c:v>
                </c:pt>
                <c:pt idx="146">
                  <c:v>24960</c:v>
                </c:pt>
                <c:pt idx="147">
                  <c:v>25120</c:v>
                </c:pt>
                <c:pt idx="148">
                  <c:v>25280</c:v>
                </c:pt>
                <c:pt idx="149">
                  <c:v>25440</c:v>
                </c:pt>
                <c:pt idx="150">
                  <c:v>25600</c:v>
                </c:pt>
                <c:pt idx="151">
                  <c:v>25760</c:v>
                </c:pt>
                <c:pt idx="152">
                  <c:v>25920</c:v>
                </c:pt>
                <c:pt idx="153">
                  <c:v>26080</c:v>
                </c:pt>
                <c:pt idx="154">
                  <c:v>26240</c:v>
                </c:pt>
                <c:pt idx="155">
                  <c:v>26400</c:v>
                </c:pt>
                <c:pt idx="156">
                  <c:v>26560</c:v>
                </c:pt>
                <c:pt idx="157">
                  <c:v>26720</c:v>
                </c:pt>
                <c:pt idx="158">
                  <c:v>26880</c:v>
                </c:pt>
                <c:pt idx="159">
                  <c:v>27040</c:v>
                </c:pt>
                <c:pt idx="160">
                  <c:v>27200</c:v>
                </c:pt>
                <c:pt idx="161">
                  <c:v>27360</c:v>
                </c:pt>
                <c:pt idx="162">
                  <c:v>27520</c:v>
                </c:pt>
                <c:pt idx="163">
                  <c:v>27680</c:v>
                </c:pt>
                <c:pt idx="164">
                  <c:v>27840</c:v>
                </c:pt>
                <c:pt idx="165">
                  <c:v>28000</c:v>
                </c:pt>
              </c:numCache>
            </c:numRef>
          </c:xVal>
          <c:yVal>
            <c:numRef>
              <c:f>'TMP36'!$I$10:$FR$10</c:f>
              <c:numCache>
                <c:formatCode>General</c:formatCode>
                <c:ptCount val="166"/>
                <c:pt idx="0">
                  <c:v>100</c:v>
                </c:pt>
                <c:pt idx="1">
                  <c:v>110</c:v>
                </c:pt>
                <c:pt idx="2">
                  <c:v>120</c:v>
                </c:pt>
                <c:pt idx="3">
                  <c:v>130</c:v>
                </c:pt>
                <c:pt idx="4">
                  <c:v>140</c:v>
                </c:pt>
                <c:pt idx="5">
                  <c:v>150</c:v>
                </c:pt>
                <c:pt idx="6">
                  <c:v>160</c:v>
                </c:pt>
                <c:pt idx="7">
                  <c:v>170</c:v>
                </c:pt>
                <c:pt idx="8">
                  <c:v>180</c:v>
                </c:pt>
                <c:pt idx="9">
                  <c:v>190</c:v>
                </c:pt>
                <c:pt idx="10">
                  <c:v>200</c:v>
                </c:pt>
                <c:pt idx="11">
                  <c:v>210</c:v>
                </c:pt>
                <c:pt idx="12">
                  <c:v>220</c:v>
                </c:pt>
                <c:pt idx="13">
                  <c:v>230</c:v>
                </c:pt>
                <c:pt idx="14">
                  <c:v>240</c:v>
                </c:pt>
                <c:pt idx="15">
                  <c:v>250</c:v>
                </c:pt>
                <c:pt idx="16">
                  <c:v>260</c:v>
                </c:pt>
                <c:pt idx="17">
                  <c:v>270</c:v>
                </c:pt>
                <c:pt idx="18">
                  <c:v>280</c:v>
                </c:pt>
                <c:pt idx="19">
                  <c:v>290</c:v>
                </c:pt>
                <c:pt idx="20">
                  <c:v>300</c:v>
                </c:pt>
                <c:pt idx="21">
                  <c:v>310</c:v>
                </c:pt>
                <c:pt idx="22">
                  <c:v>320</c:v>
                </c:pt>
                <c:pt idx="23">
                  <c:v>330</c:v>
                </c:pt>
                <c:pt idx="24">
                  <c:v>340</c:v>
                </c:pt>
                <c:pt idx="25">
                  <c:v>350</c:v>
                </c:pt>
                <c:pt idx="26">
                  <c:v>360</c:v>
                </c:pt>
                <c:pt idx="27">
                  <c:v>370</c:v>
                </c:pt>
                <c:pt idx="28">
                  <c:v>380</c:v>
                </c:pt>
                <c:pt idx="29">
                  <c:v>390</c:v>
                </c:pt>
                <c:pt idx="30">
                  <c:v>400</c:v>
                </c:pt>
                <c:pt idx="31">
                  <c:v>410</c:v>
                </c:pt>
                <c:pt idx="32">
                  <c:v>420</c:v>
                </c:pt>
                <c:pt idx="33">
                  <c:v>430</c:v>
                </c:pt>
                <c:pt idx="34">
                  <c:v>440</c:v>
                </c:pt>
                <c:pt idx="35">
                  <c:v>450</c:v>
                </c:pt>
                <c:pt idx="36">
                  <c:v>460</c:v>
                </c:pt>
                <c:pt idx="37">
                  <c:v>470</c:v>
                </c:pt>
                <c:pt idx="38">
                  <c:v>480</c:v>
                </c:pt>
                <c:pt idx="39">
                  <c:v>490</c:v>
                </c:pt>
                <c:pt idx="40">
                  <c:v>500</c:v>
                </c:pt>
                <c:pt idx="41">
                  <c:v>510</c:v>
                </c:pt>
                <c:pt idx="42">
                  <c:v>520</c:v>
                </c:pt>
                <c:pt idx="43">
                  <c:v>530</c:v>
                </c:pt>
                <c:pt idx="44">
                  <c:v>540</c:v>
                </c:pt>
                <c:pt idx="45">
                  <c:v>550</c:v>
                </c:pt>
                <c:pt idx="46">
                  <c:v>560</c:v>
                </c:pt>
                <c:pt idx="47">
                  <c:v>570</c:v>
                </c:pt>
                <c:pt idx="48">
                  <c:v>580</c:v>
                </c:pt>
                <c:pt idx="49">
                  <c:v>590</c:v>
                </c:pt>
                <c:pt idx="50">
                  <c:v>600</c:v>
                </c:pt>
                <c:pt idx="51">
                  <c:v>610</c:v>
                </c:pt>
                <c:pt idx="52">
                  <c:v>620</c:v>
                </c:pt>
                <c:pt idx="53">
                  <c:v>630</c:v>
                </c:pt>
                <c:pt idx="54">
                  <c:v>640</c:v>
                </c:pt>
                <c:pt idx="55">
                  <c:v>650</c:v>
                </c:pt>
                <c:pt idx="56">
                  <c:v>660</c:v>
                </c:pt>
                <c:pt idx="57">
                  <c:v>670</c:v>
                </c:pt>
                <c:pt idx="58">
                  <c:v>680</c:v>
                </c:pt>
                <c:pt idx="59">
                  <c:v>690</c:v>
                </c:pt>
                <c:pt idx="60">
                  <c:v>700</c:v>
                </c:pt>
                <c:pt idx="61">
                  <c:v>710</c:v>
                </c:pt>
                <c:pt idx="62">
                  <c:v>720</c:v>
                </c:pt>
                <c:pt idx="63">
                  <c:v>730</c:v>
                </c:pt>
                <c:pt idx="64">
                  <c:v>740</c:v>
                </c:pt>
                <c:pt idx="65">
                  <c:v>750</c:v>
                </c:pt>
                <c:pt idx="66">
                  <c:v>760</c:v>
                </c:pt>
                <c:pt idx="67">
                  <c:v>770</c:v>
                </c:pt>
                <c:pt idx="68">
                  <c:v>780</c:v>
                </c:pt>
                <c:pt idx="69">
                  <c:v>790</c:v>
                </c:pt>
                <c:pt idx="70">
                  <c:v>800</c:v>
                </c:pt>
                <c:pt idx="71">
                  <c:v>810</c:v>
                </c:pt>
                <c:pt idx="72">
                  <c:v>820</c:v>
                </c:pt>
                <c:pt idx="73">
                  <c:v>830</c:v>
                </c:pt>
                <c:pt idx="74">
                  <c:v>840</c:v>
                </c:pt>
                <c:pt idx="75">
                  <c:v>850</c:v>
                </c:pt>
                <c:pt idx="76">
                  <c:v>860</c:v>
                </c:pt>
                <c:pt idx="77">
                  <c:v>870</c:v>
                </c:pt>
                <c:pt idx="78">
                  <c:v>880</c:v>
                </c:pt>
                <c:pt idx="79">
                  <c:v>890</c:v>
                </c:pt>
                <c:pt idx="80">
                  <c:v>900</c:v>
                </c:pt>
                <c:pt idx="81">
                  <c:v>910</c:v>
                </c:pt>
                <c:pt idx="82">
                  <c:v>920</c:v>
                </c:pt>
                <c:pt idx="83">
                  <c:v>930</c:v>
                </c:pt>
                <c:pt idx="84">
                  <c:v>940</c:v>
                </c:pt>
                <c:pt idx="85">
                  <c:v>950</c:v>
                </c:pt>
                <c:pt idx="86">
                  <c:v>960</c:v>
                </c:pt>
                <c:pt idx="87">
                  <c:v>970</c:v>
                </c:pt>
                <c:pt idx="88">
                  <c:v>980</c:v>
                </c:pt>
                <c:pt idx="89">
                  <c:v>990</c:v>
                </c:pt>
                <c:pt idx="90">
                  <c:v>1000</c:v>
                </c:pt>
                <c:pt idx="91">
                  <c:v>1010</c:v>
                </c:pt>
                <c:pt idx="92">
                  <c:v>1020</c:v>
                </c:pt>
                <c:pt idx="93">
                  <c:v>1030</c:v>
                </c:pt>
                <c:pt idx="94">
                  <c:v>1040</c:v>
                </c:pt>
                <c:pt idx="95">
                  <c:v>1050</c:v>
                </c:pt>
                <c:pt idx="96">
                  <c:v>1060</c:v>
                </c:pt>
                <c:pt idx="97">
                  <c:v>1070</c:v>
                </c:pt>
                <c:pt idx="98">
                  <c:v>1080</c:v>
                </c:pt>
                <c:pt idx="99">
                  <c:v>1090</c:v>
                </c:pt>
                <c:pt idx="100">
                  <c:v>1100</c:v>
                </c:pt>
                <c:pt idx="101">
                  <c:v>1110</c:v>
                </c:pt>
                <c:pt idx="102">
                  <c:v>1120</c:v>
                </c:pt>
                <c:pt idx="103">
                  <c:v>1130</c:v>
                </c:pt>
                <c:pt idx="104">
                  <c:v>1140</c:v>
                </c:pt>
                <c:pt idx="105">
                  <c:v>1150</c:v>
                </c:pt>
                <c:pt idx="106">
                  <c:v>1160</c:v>
                </c:pt>
                <c:pt idx="107">
                  <c:v>1170</c:v>
                </c:pt>
                <c:pt idx="108">
                  <c:v>1180</c:v>
                </c:pt>
                <c:pt idx="109">
                  <c:v>1190</c:v>
                </c:pt>
                <c:pt idx="110">
                  <c:v>1200</c:v>
                </c:pt>
                <c:pt idx="111">
                  <c:v>1210</c:v>
                </c:pt>
                <c:pt idx="112">
                  <c:v>1220</c:v>
                </c:pt>
                <c:pt idx="113">
                  <c:v>1230</c:v>
                </c:pt>
                <c:pt idx="114">
                  <c:v>1240</c:v>
                </c:pt>
                <c:pt idx="115">
                  <c:v>1250</c:v>
                </c:pt>
                <c:pt idx="116">
                  <c:v>1260</c:v>
                </c:pt>
                <c:pt idx="117">
                  <c:v>1270</c:v>
                </c:pt>
                <c:pt idx="118">
                  <c:v>1280</c:v>
                </c:pt>
                <c:pt idx="119">
                  <c:v>1290</c:v>
                </c:pt>
                <c:pt idx="120">
                  <c:v>1300</c:v>
                </c:pt>
                <c:pt idx="121">
                  <c:v>1310</c:v>
                </c:pt>
                <c:pt idx="122">
                  <c:v>1320</c:v>
                </c:pt>
                <c:pt idx="123">
                  <c:v>1330</c:v>
                </c:pt>
                <c:pt idx="124">
                  <c:v>1340</c:v>
                </c:pt>
                <c:pt idx="125">
                  <c:v>1350</c:v>
                </c:pt>
                <c:pt idx="126">
                  <c:v>1360</c:v>
                </c:pt>
                <c:pt idx="127">
                  <c:v>1370</c:v>
                </c:pt>
                <c:pt idx="128">
                  <c:v>1380</c:v>
                </c:pt>
                <c:pt idx="129">
                  <c:v>1390</c:v>
                </c:pt>
                <c:pt idx="130">
                  <c:v>1400</c:v>
                </c:pt>
                <c:pt idx="131">
                  <c:v>1410</c:v>
                </c:pt>
                <c:pt idx="132">
                  <c:v>1420</c:v>
                </c:pt>
                <c:pt idx="133">
                  <c:v>1430</c:v>
                </c:pt>
                <c:pt idx="134">
                  <c:v>1440</c:v>
                </c:pt>
                <c:pt idx="135">
                  <c:v>1450</c:v>
                </c:pt>
                <c:pt idx="136">
                  <c:v>1460</c:v>
                </c:pt>
                <c:pt idx="137">
                  <c:v>1470</c:v>
                </c:pt>
                <c:pt idx="138">
                  <c:v>1480</c:v>
                </c:pt>
                <c:pt idx="139">
                  <c:v>1490</c:v>
                </c:pt>
                <c:pt idx="140">
                  <c:v>1500</c:v>
                </c:pt>
                <c:pt idx="141">
                  <c:v>1510</c:v>
                </c:pt>
                <c:pt idx="142">
                  <c:v>1520</c:v>
                </c:pt>
                <c:pt idx="143">
                  <c:v>1530</c:v>
                </c:pt>
                <c:pt idx="144">
                  <c:v>1540</c:v>
                </c:pt>
                <c:pt idx="145">
                  <c:v>1550</c:v>
                </c:pt>
                <c:pt idx="146">
                  <c:v>1560</c:v>
                </c:pt>
                <c:pt idx="147">
                  <c:v>1570</c:v>
                </c:pt>
                <c:pt idx="148">
                  <c:v>1580</c:v>
                </c:pt>
                <c:pt idx="149">
                  <c:v>1590</c:v>
                </c:pt>
                <c:pt idx="150">
                  <c:v>1600</c:v>
                </c:pt>
                <c:pt idx="151">
                  <c:v>1610</c:v>
                </c:pt>
                <c:pt idx="152">
                  <c:v>1620</c:v>
                </c:pt>
                <c:pt idx="153">
                  <c:v>1630</c:v>
                </c:pt>
                <c:pt idx="154">
                  <c:v>1640</c:v>
                </c:pt>
                <c:pt idx="155">
                  <c:v>1650</c:v>
                </c:pt>
                <c:pt idx="156">
                  <c:v>1660</c:v>
                </c:pt>
                <c:pt idx="157">
                  <c:v>1670</c:v>
                </c:pt>
                <c:pt idx="158">
                  <c:v>1680</c:v>
                </c:pt>
                <c:pt idx="159">
                  <c:v>1690</c:v>
                </c:pt>
                <c:pt idx="160">
                  <c:v>1700</c:v>
                </c:pt>
                <c:pt idx="161">
                  <c:v>1710</c:v>
                </c:pt>
                <c:pt idx="162">
                  <c:v>1720</c:v>
                </c:pt>
                <c:pt idx="163">
                  <c:v>1730</c:v>
                </c:pt>
                <c:pt idx="164">
                  <c:v>1740</c:v>
                </c:pt>
                <c:pt idx="165">
                  <c:v>1750</c:v>
                </c:pt>
              </c:numCache>
            </c:numRef>
          </c:yVal>
          <c:smooth val="0"/>
        </c:ser>
        <c:dLbls>
          <c:showLegendKey val="0"/>
          <c:showVal val="0"/>
          <c:showCatName val="0"/>
          <c:showSerName val="0"/>
          <c:showPercent val="0"/>
          <c:showBubbleSize val="0"/>
        </c:dLbls>
        <c:axId val="181697152"/>
        <c:axId val="181698944"/>
      </c:scatterChart>
      <c:valAx>
        <c:axId val="181697152"/>
        <c:scaling>
          <c:orientation val="minMax"/>
        </c:scaling>
        <c:delete val="0"/>
        <c:axPos val="b"/>
        <c:numFmt formatCode="0" sourceLinked="1"/>
        <c:majorTickMark val="out"/>
        <c:minorTickMark val="none"/>
        <c:tickLblPos val="nextTo"/>
        <c:crossAx val="181698944"/>
        <c:crosses val="autoZero"/>
        <c:crossBetween val="midCat"/>
      </c:valAx>
      <c:valAx>
        <c:axId val="181698944"/>
        <c:scaling>
          <c:orientation val="minMax"/>
        </c:scaling>
        <c:delete val="0"/>
        <c:axPos val="l"/>
        <c:majorGridlines/>
        <c:numFmt formatCode="General" sourceLinked="1"/>
        <c:majorTickMark val="out"/>
        <c:minorTickMark val="none"/>
        <c:tickLblPos val="nextTo"/>
        <c:crossAx val="181697152"/>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43977060303979E-2"/>
          <c:y val="2.8252405949256341E-2"/>
          <c:w val="0.92493774753179414"/>
          <c:h val="0.8326195683872849"/>
        </c:manualLayout>
      </c:layout>
      <c:scatterChart>
        <c:scatterStyle val="lineMarker"/>
        <c:varyColors val="0"/>
        <c:ser>
          <c:idx val="0"/>
          <c:order val="0"/>
          <c:marker>
            <c:symbol val="none"/>
          </c:marker>
          <c:trendline>
            <c:trendlineType val="linear"/>
            <c:dispRSqr val="0"/>
            <c:dispEq val="1"/>
            <c:trendlineLbl>
              <c:layout>
                <c:manualLayout>
                  <c:x val="-0.32203302712160981"/>
                  <c:y val="-0.16512175561388159"/>
                </c:manualLayout>
              </c:layout>
              <c:numFmt formatCode="General" sourceLinked="0"/>
              <c:txPr>
                <a:bodyPr/>
                <a:lstStyle/>
                <a:p>
                  <a:pPr>
                    <a:defRPr sz="2400">
                      <a:latin typeface="Arial" panose="020B0604020202020204" pitchFamily="34" charset="0"/>
                      <a:cs typeface="Arial" panose="020B0604020202020204" pitchFamily="34" charset="0"/>
                    </a:defRPr>
                  </a:pPr>
                  <a:endParaRPr lang="fr-FR"/>
                </a:p>
              </c:txPr>
            </c:trendlineLbl>
          </c:trendline>
          <c:xVal>
            <c:numRef>
              <c:f>Compl2_0!$W$18:$W$272</c:f>
              <c:numCache>
                <c:formatCode>General</c:formatCode>
                <c:ptCount val="25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numCache>
            </c:numRef>
          </c:xVal>
          <c:yVal>
            <c:numRef>
              <c:f>Compl2_0!$X$18:$X$272</c:f>
              <c:numCache>
                <c:formatCode>General</c:formatCode>
                <c:ptCount val="255"/>
                <c:pt idx="0">
                  <c:v>65535</c:v>
                </c:pt>
                <c:pt idx="1">
                  <c:v>65534</c:v>
                </c:pt>
                <c:pt idx="2">
                  <c:v>65533</c:v>
                </c:pt>
                <c:pt idx="3">
                  <c:v>65532</c:v>
                </c:pt>
                <c:pt idx="4">
                  <c:v>65531</c:v>
                </c:pt>
                <c:pt idx="5">
                  <c:v>65530</c:v>
                </c:pt>
                <c:pt idx="6">
                  <c:v>65529</c:v>
                </c:pt>
                <c:pt idx="7">
                  <c:v>65528</c:v>
                </c:pt>
                <c:pt idx="8">
                  <c:v>65527</c:v>
                </c:pt>
                <c:pt idx="9">
                  <c:v>65526</c:v>
                </c:pt>
                <c:pt idx="10">
                  <c:v>65525</c:v>
                </c:pt>
                <c:pt idx="11">
                  <c:v>65524</c:v>
                </c:pt>
                <c:pt idx="12">
                  <c:v>65523</c:v>
                </c:pt>
                <c:pt idx="13">
                  <c:v>65522</c:v>
                </c:pt>
                <c:pt idx="14">
                  <c:v>65521</c:v>
                </c:pt>
                <c:pt idx="15">
                  <c:v>65520</c:v>
                </c:pt>
                <c:pt idx="16">
                  <c:v>65519</c:v>
                </c:pt>
                <c:pt idx="17">
                  <c:v>65518</c:v>
                </c:pt>
                <c:pt idx="18">
                  <c:v>65517</c:v>
                </c:pt>
                <c:pt idx="19">
                  <c:v>65516</c:v>
                </c:pt>
                <c:pt idx="20">
                  <c:v>65515</c:v>
                </c:pt>
                <c:pt idx="21">
                  <c:v>65514</c:v>
                </c:pt>
                <c:pt idx="22">
                  <c:v>65513</c:v>
                </c:pt>
                <c:pt idx="23">
                  <c:v>65512</c:v>
                </c:pt>
                <c:pt idx="24">
                  <c:v>65511</c:v>
                </c:pt>
                <c:pt idx="25">
                  <c:v>65510</c:v>
                </c:pt>
                <c:pt idx="26">
                  <c:v>65509</c:v>
                </c:pt>
                <c:pt idx="27">
                  <c:v>65508</c:v>
                </c:pt>
                <c:pt idx="28">
                  <c:v>65507</c:v>
                </c:pt>
                <c:pt idx="29">
                  <c:v>65506</c:v>
                </c:pt>
                <c:pt idx="30">
                  <c:v>65505</c:v>
                </c:pt>
                <c:pt idx="31">
                  <c:v>65504</c:v>
                </c:pt>
                <c:pt idx="32">
                  <c:v>65503</c:v>
                </c:pt>
                <c:pt idx="33">
                  <c:v>65502</c:v>
                </c:pt>
                <c:pt idx="34">
                  <c:v>65501</c:v>
                </c:pt>
                <c:pt idx="35">
                  <c:v>65500</c:v>
                </c:pt>
                <c:pt idx="36">
                  <c:v>65499</c:v>
                </c:pt>
                <c:pt idx="37">
                  <c:v>65498</c:v>
                </c:pt>
                <c:pt idx="38">
                  <c:v>65497</c:v>
                </c:pt>
                <c:pt idx="39">
                  <c:v>65496</c:v>
                </c:pt>
                <c:pt idx="40">
                  <c:v>65495</c:v>
                </c:pt>
                <c:pt idx="41">
                  <c:v>65494</c:v>
                </c:pt>
                <c:pt idx="42">
                  <c:v>65493</c:v>
                </c:pt>
                <c:pt idx="43">
                  <c:v>65492</c:v>
                </c:pt>
                <c:pt idx="44">
                  <c:v>65491</c:v>
                </c:pt>
                <c:pt idx="45">
                  <c:v>65490</c:v>
                </c:pt>
                <c:pt idx="46">
                  <c:v>65489</c:v>
                </c:pt>
                <c:pt idx="47">
                  <c:v>65488</c:v>
                </c:pt>
                <c:pt idx="48">
                  <c:v>65487</c:v>
                </c:pt>
                <c:pt idx="49">
                  <c:v>65486</c:v>
                </c:pt>
                <c:pt idx="50">
                  <c:v>65485</c:v>
                </c:pt>
                <c:pt idx="51">
                  <c:v>65484</c:v>
                </c:pt>
                <c:pt idx="52">
                  <c:v>65483</c:v>
                </c:pt>
                <c:pt idx="53">
                  <c:v>65482</c:v>
                </c:pt>
                <c:pt idx="54">
                  <c:v>65481</c:v>
                </c:pt>
                <c:pt idx="55">
                  <c:v>65480</c:v>
                </c:pt>
                <c:pt idx="56">
                  <c:v>65479</c:v>
                </c:pt>
                <c:pt idx="57">
                  <c:v>65478</c:v>
                </c:pt>
                <c:pt idx="58">
                  <c:v>65477</c:v>
                </c:pt>
                <c:pt idx="59">
                  <c:v>65476</c:v>
                </c:pt>
                <c:pt idx="60">
                  <c:v>65475</c:v>
                </c:pt>
                <c:pt idx="61">
                  <c:v>65474</c:v>
                </c:pt>
                <c:pt idx="62">
                  <c:v>65473</c:v>
                </c:pt>
                <c:pt idx="63">
                  <c:v>65472</c:v>
                </c:pt>
                <c:pt idx="64">
                  <c:v>65471</c:v>
                </c:pt>
                <c:pt idx="65">
                  <c:v>65470</c:v>
                </c:pt>
                <c:pt idx="66">
                  <c:v>65469</c:v>
                </c:pt>
                <c:pt idx="67">
                  <c:v>65468</c:v>
                </c:pt>
                <c:pt idx="68">
                  <c:v>65467</c:v>
                </c:pt>
                <c:pt idx="69">
                  <c:v>65466</c:v>
                </c:pt>
                <c:pt idx="70">
                  <c:v>65465</c:v>
                </c:pt>
                <c:pt idx="71">
                  <c:v>65464</c:v>
                </c:pt>
                <c:pt idx="72">
                  <c:v>65463</c:v>
                </c:pt>
                <c:pt idx="73">
                  <c:v>65462</c:v>
                </c:pt>
                <c:pt idx="74">
                  <c:v>65461</c:v>
                </c:pt>
                <c:pt idx="75">
                  <c:v>65460</c:v>
                </c:pt>
                <c:pt idx="76">
                  <c:v>65459</c:v>
                </c:pt>
                <c:pt idx="77">
                  <c:v>65458</c:v>
                </c:pt>
                <c:pt idx="78">
                  <c:v>65457</c:v>
                </c:pt>
                <c:pt idx="79">
                  <c:v>65456</c:v>
                </c:pt>
                <c:pt idx="80">
                  <c:v>65455</c:v>
                </c:pt>
                <c:pt idx="81">
                  <c:v>65454</c:v>
                </c:pt>
                <c:pt idx="82">
                  <c:v>65453</c:v>
                </c:pt>
                <c:pt idx="83">
                  <c:v>65452</c:v>
                </c:pt>
                <c:pt idx="84">
                  <c:v>65451</c:v>
                </c:pt>
                <c:pt idx="85">
                  <c:v>65450</c:v>
                </c:pt>
                <c:pt idx="86">
                  <c:v>65449</c:v>
                </c:pt>
                <c:pt idx="87">
                  <c:v>65448</c:v>
                </c:pt>
                <c:pt idx="88">
                  <c:v>65447</c:v>
                </c:pt>
                <c:pt idx="89">
                  <c:v>65446</c:v>
                </c:pt>
                <c:pt idx="90">
                  <c:v>65445</c:v>
                </c:pt>
                <c:pt idx="91">
                  <c:v>65444</c:v>
                </c:pt>
                <c:pt idx="92">
                  <c:v>65443</c:v>
                </c:pt>
                <c:pt idx="93">
                  <c:v>65442</c:v>
                </c:pt>
                <c:pt idx="94">
                  <c:v>65441</c:v>
                </c:pt>
                <c:pt idx="95">
                  <c:v>65440</c:v>
                </c:pt>
                <c:pt idx="96">
                  <c:v>65439</c:v>
                </c:pt>
                <c:pt idx="97">
                  <c:v>65438</c:v>
                </c:pt>
                <c:pt idx="98">
                  <c:v>65437</c:v>
                </c:pt>
                <c:pt idx="99">
                  <c:v>65436</c:v>
                </c:pt>
                <c:pt idx="100">
                  <c:v>65435</c:v>
                </c:pt>
                <c:pt idx="101">
                  <c:v>65434</c:v>
                </c:pt>
                <c:pt idx="102">
                  <c:v>65433</c:v>
                </c:pt>
                <c:pt idx="103">
                  <c:v>65432</c:v>
                </c:pt>
                <c:pt idx="104">
                  <c:v>65431</c:v>
                </c:pt>
                <c:pt idx="105">
                  <c:v>65430</c:v>
                </c:pt>
                <c:pt idx="106">
                  <c:v>65429</c:v>
                </c:pt>
                <c:pt idx="107">
                  <c:v>65428</c:v>
                </c:pt>
                <c:pt idx="108">
                  <c:v>65427</c:v>
                </c:pt>
                <c:pt idx="109">
                  <c:v>65426</c:v>
                </c:pt>
                <c:pt idx="110">
                  <c:v>65425</c:v>
                </c:pt>
                <c:pt idx="111">
                  <c:v>65424</c:v>
                </c:pt>
                <c:pt idx="112">
                  <c:v>65423</c:v>
                </c:pt>
                <c:pt idx="113">
                  <c:v>65422</c:v>
                </c:pt>
                <c:pt idx="114">
                  <c:v>65421</c:v>
                </c:pt>
                <c:pt idx="115">
                  <c:v>65420</c:v>
                </c:pt>
                <c:pt idx="116">
                  <c:v>65419</c:v>
                </c:pt>
                <c:pt idx="117">
                  <c:v>65418</c:v>
                </c:pt>
                <c:pt idx="118">
                  <c:v>65417</c:v>
                </c:pt>
                <c:pt idx="119">
                  <c:v>65416</c:v>
                </c:pt>
                <c:pt idx="120">
                  <c:v>65415</c:v>
                </c:pt>
                <c:pt idx="121">
                  <c:v>65414</c:v>
                </c:pt>
                <c:pt idx="122">
                  <c:v>65413</c:v>
                </c:pt>
                <c:pt idx="123">
                  <c:v>65412</c:v>
                </c:pt>
                <c:pt idx="124">
                  <c:v>65411</c:v>
                </c:pt>
                <c:pt idx="125">
                  <c:v>65410</c:v>
                </c:pt>
                <c:pt idx="126">
                  <c:v>65409</c:v>
                </c:pt>
                <c:pt idx="127">
                  <c:v>65408</c:v>
                </c:pt>
                <c:pt idx="128">
                  <c:v>65407</c:v>
                </c:pt>
                <c:pt idx="129">
                  <c:v>65406</c:v>
                </c:pt>
                <c:pt idx="130">
                  <c:v>65405</c:v>
                </c:pt>
                <c:pt idx="131">
                  <c:v>65404</c:v>
                </c:pt>
                <c:pt idx="132">
                  <c:v>65403</c:v>
                </c:pt>
                <c:pt idx="133">
                  <c:v>65402</c:v>
                </c:pt>
                <c:pt idx="134">
                  <c:v>65401</c:v>
                </c:pt>
                <c:pt idx="135">
                  <c:v>65400</c:v>
                </c:pt>
                <c:pt idx="136">
                  <c:v>65399</c:v>
                </c:pt>
                <c:pt idx="137">
                  <c:v>65398</c:v>
                </c:pt>
                <c:pt idx="138">
                  <c:v>65397</c:v>
                </c:pt>
                <c:pt idx="139">
                  <c:v>65396</c:v>
                </c:pt>
                <c:pt idx="140">
                  <c:v>65395</c:v>
                </c:pt>
                <c:pt idx="141">
                  <c:v>65394</c:v>
                </c:pt>
                <c:pt idx="142">
                  <c:v>65393</c:v>
                </c:pt>
                <c:pt idx="143">
                  <c:v>65392</c:v>
                </c:pt>
                <c:pt idx="144">
                  <c:v>65391</c:v>
                </c:pt>
                <c:pt idx="145">
                  <c:v>65390</c:v>
                </c:pt>
                <c:pt idx="146">
                  <c:v>65389</c:v>
                </c:pt>
                <c:pt idx="147">
                  <c:v>65388</c:v>
                </c:pt>
                <c:pt idx="148">
                  <c:v>65387</c:v>
                </c:pt>
                <c:pt idx="149">
                  <c:v>65386</c:v>
                </c:pt>
                <c:pt idx="150">
                  <c:v>65385</c:v>
                </c:pt>
                <c:pt idx="151">
                  <c:v>65384</c:v>
                </c:pt>
                <c:pt idx="152">
                  <c:v>65383</c:v>
                </c:pt>
                <c:pt idx="153">
                  <c:v>65382</c:v>
                </c:pt>
                <c:pt idx="154">
                  <c:v>65381</c:v>
                </c:pt>
                <c:pt idx="155">
                  <c:v>65380</c:v>
                </c:pt>
                <c:pt idx="156">
                  <c:v>65379</c:v>
                </c:pt>
                <c:pt idx="157">
                  <c:v>65378</c:v>
                </c:pt>
                <c:pt idx="158">
                  <c:v>65377</c:v>
                </c:pt>
                <c:pt idx="159">
                  <c:v>65376</c:v>
                </c:pt>
                <c:pt idx="160">
                  <c:v>65375</c:v>
                </c:pt>
                <c:pt idx="161">
                  <c:v>65374</c:v>
                </c:pt>
                <c:pt idx="162">
                  <c:v>65373</c:v>
                </c:pt>
                <c:pt idx="163">
                  <c:v>65372</c:v>
                </c:pt>
                <c:pt idx="164">
                  <c:v>65371</c:v>
                </c:pt>
                <c:pt idx="165">
                  <c:v>65370</c:v>
                </c:pt>
                <c:pt idx="166">
                  <c:v>65369</c:v>
                </c:pt>
                <c:pt idx="167">
                  <c:v>65368</c:v>
                </c:pt>
                <c:pt idx="168">
                  <c:v>65367</c:v>
                </c:pt>
                <c:pt idx="169">
                  <c:v>65366</c:v>
                </c:pt>
                <c:pt idx="170">
                  <c:v>65365</c:v>
                </c:pt>
                <c:pt idx="171">
                  <c:v>65364</c:v>
                </c:pt>
                <c:pt idx="172">
                  <c:v>65363</c:v>
                </c:pt>
                <c:pt idx="173">
                  <c:v>65362</c:v>
                </c:pt>
                <c:pt idx="174">
                  <c:v>65361</c:v>
                </c:pt>
                <c:pt idx="175">
                  <c:v>65360</c:v>
                </c:pt>
                <c:pt idx="176">
                  <c:v>65359</c:v>
                </c:pt>
                <c:pt idx="177">
                  <c:v>65358</c:v>
                </c:pt>
                <c:pt idx="178">
                  <c:v>65357</c:v>
                </c:pt>
                <c:pt idx="179">
                  <c:v>65356</c:v>
                </c:pt>
                <c:pt idx="180">
                  <c:v>65355</c:v>
                </c:pt>
                <c:pt idx="181">
                  <c:v>65354</c:v>
                </c:pt>
                <c:pt idx="182">
                  <c:v>65353</c:v>
                </c:pt>
                <c:pt idx="183">
                  <c:v>65352</c:v>
                </c:pt>
                <c:pt idx="184">
                  <c:v>65351</c:v>
                </c:pt>
                <c:pt idx="185">
                  <c:v>65350</c:v>
                </c:pt>
                <c:pt idx="186">
                  <c:v>65349</c:v>
                </c:pt>
                <c:pt idx="187">
                  <c:v>65348</c:v>
                </c:pt>
                <c:pt idx="188">
                  <c:v>65347</c:v>
                </c:pt>
                <c:pt idx="189">
                  <c:v>65346</c:v>
                </c:pt>
                <c:pt idx="190">
                  <c:v>65345</c:v>
                </c:pt>
                <c:pt idx="191">
                  <c:v>65344</c:v>
                </c:pt>
                <c:pt idx="192">
                  <c:v>65343</c:v>
                </c:pt>
                <c:pt idx="193">
                  <c:v>65342</c:v>
                </c:pt>
                <c:pt idx="194">
                  <c:v>65341</c:v>
                </c:pt>
                <c:pt idx="195">
                  <c:v>65340</c:v>
                </c:pt>
                <c:pt idx="196">
                  <c:v>65339</c:v>
                </c:pt>
                <c:pt idx="197">
                  <c:v>65338</c:v>
                </c:pt>
                <c:pt idx="198">
                  <c:v>65337</c:v>
                </c:pt>
                <c:pt idx="199">
                  <c:v>65336</c:v>
                </c:pt>
                <c:pt idx="200">
                  <c:v>65335</c:v>
                </c:pt>
                <c:pt idx="201">
                  <c:v>65334</c:v>
                </c:pt>
                <c:pt idx="202">
                  <c:v>65333</c:v>
                </c:pt>
                <c:pt idx="203">
                  <c:v>65332</c:v>
                </c:pt>
                <c:pt idx="204">
                  <c:v>65331</c:v>
                </c:pt>
                <c:pt idx="205">
                  <c:v>65330</c:v>
                </c:pt>
                <c:pt idx="206">
                  <c:v>65329</c:v>
                </c:pt>
                <c:pt idx="207">
                  <c:v>65328</c:v>
                </c:pt>
                <c:pt idx="208">
                  <c:v>65327</c:v>
                </c:pt>
                <c:pt idx="209">
                  <c:v>65326</c:v>
                </c:pt>
                <c:pt idx="210">
                  <c:v>65325</c:v>
                </c:pt>
                <c:pt idx="211">
                  <c:v>65324</c:v>
                </c:pt>
                <c:pt idx="212">
                  <c:v>65323</c:v>
                </c:pt>
                <c:pt idx="213">
                  <c:v>65322</c:v>
                </c:pt>
                <c:pt idx="214">
                  <c:v>65321</c:v>
                </c:pt>
                <c:pt idx="215">
                  <c:v>65320</c:v>
                </c:pt>
                <c:pt idx="216">
                  <c:v>65319</c:v>
                </c:pt>
                <c:pt idx="217">
                  <c:v>65318</c:v>
                </c:pt>
                <c:pt idx="218">
                  <c:v>65317</c:v>
                </c:pt>
                <c:pt idx="219">
                  <c:v>65316</c:v>
                </c:pt>
                <c:pt idx="220">
                  <c:v>65315</c:v>
                </c:pt>
                <c:pt idx="221">
                  <c:v>65314</c:v>
                </c:pt>
                <c:pt idx="222">
                  <c:v>65313</c:v>
                </c:pt>
                <c:pt idx="223">
                  <c:v>65312</c:v>
                </c:pt>
                <c:pt idx="224">
                  <c:v>65311</c:v>
                </c:pt>
                <c:pt idx="225">
                  <c:v>65310</c:v>
                </c:pt>
                <c:pt idx="226">
                  <c:v>65309</c:v>
                </c:pt>
                <c:pt idx="227">
                  <c:v>65308</c:v>
                </c:pt>
                <c:pt idx="228">
                  <c:v>65307</c:v>
                </c:pt>
                <c:pt idx="229">
                  <c:v>65306</c:v>
                </c:pt>
                <c:pt idx="230">
                  <c:v>65305</c:v>
                </c:pt>
                <c:pt idx="231">
                  <c:v>65304</c:v>
                </c:pt>
                <c:pt idx="232">
                  <c:v>65303</c:v>
                </c:pt>
                <c:pt idx="233">
                  <c:v>65302</c:v>
                </c:pt>
                <c:pt idx="234">
                  <c:v>65301</c:v>
                </c:pt>
                <c:pt idx="235">
                  <c:v>65300</c:v>
                </c:pt>
                <c:pt idx="236">
                  <c:v>65299</c:v>
                </c:pt>
                <c:pt idx="237">
                  <c:v>65298</c:v>
                </c:pt>
                <c:pt idx="238">
                  <c:v>65297</c:v>
                </c:pt>
                <c:pt idx="239">
                  <c:v>65296</c:v>
                </c:pt>
                <c:pt idx="240">
                  <c:v>65295</c:v>
                </c:pt>
                <c:pt idx="241">
                  <c:v>65294</c:v>
                </c:pt>
                <c:pt idx="242">
                  <c:v>65293</c:v>
                </c:pt>
                <c:pt idx="243">
                  <c:v>65292</c:v>
                </c:pt>
                <c:pt idx="244">
                  <c:v>65291</c:v>
                </c:pt>
                <c:pt idx="245">
                  <c:v>65290</c:v>
                </c:pt>
                <c:pt idx="246">
                  <c:v>65289</c:v>
                </c:pt>
                <c:pt idx="247">
                  <c:v>65288</c:v>
                </c:pt>
                <c:pt idx="248">
                  <c:v>65287</c:v>
                </c:pt>
                <c:pt idx="249">
                  <c:v>65286</c:v>
                </c:pt>
                <c:pt idx="250">
                  <c:v>65285</c:v>
                </c:pt>
                <c:pt idx="251">
                  <c:v>65284</c:v>
                </c:pt>
                <c:pt idx="252">
                  <c:v>65283</c:v>
                </c:pt>
                <c:pt idx="253">
                  <c:v>65282</c:v>
                </c:pt>
                <c:pt idx="254">
                  <c:v>65281</c:v>
                </c:pt>
              </c:numCache>
            </c:numRef>
          </c:yVal>
          <c:smooth val="0"/>
        </c:ser>
        <c:dLbls>
          <c:showLegendKey val="0"/>
          <c:showVal val="0"/>
          <c:showCatName val="0"/>
          <c:showSerName val="0"/>
          <c:showPercent val="0"/>
          <c:showBubbleSize val="0"/>
        </c:dLbls>
        <c:axId val="182104832"/>
        <c:axId val="182106368"/>
      </c:scatterChart>
      <c:valAx>
        <c:axId val="182104832"/>
        <c:scaling>
          <c:orientation val="minMax"/>
        </c:scaling>
        <c:delete val="0"/>
        <c:axPos val="b"/>
        <c:numFmt formatCode="General" sourceLinked="1"/>
        <c:majorTickMark val="out"/>
        <c:minorTickMark val="none"/>
        <c:tickLblPos val="nextTo"/>
        <c:crossAx val="182106368"/>
        <c:crosses val="autoZero"/>
        <c:crossBetween val="midCat"/>
      </c:valAx>
      <c:valAx>
        <c:axId val="182106368"/>
        <c:scaling>
          <c:orientation val="minMax"/>
        </c:scaling>
        <c:delete val="0"/>
        <c:axPos val="l"/>
        <c:majorGridlines/>
        <c:numFmt formatCode="General" sourceLinked="1"/>
        <c:majorTickMark val="out"/>
        <c:minorTickMark val="none"/>
        <c:tickLblPos val="nextTo"/>
        <c:crossAx val="182104832"/>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pn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8.png"/><Relationship Id="rId4" Type="http://schemas.openxmlformats.org/officeDocument/2006/relationships/image" Target="../media/image13.png"/><Relationship Id="rId9" Type="http://schemas.openxmlformats.org/officeDocument/2006/relationships/image" Target="../media/image17.png"/></Relationships>
</file>

<file path=xl/drawings/_rels/drawing8.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image" Target="../media/image18.png"/><Relationship Id="rId7" Type="http://schemas.openxmlformats.org/officeDocument/2006/relationships/chart" Target="../charts/chart3.xml"/><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3.png"/><Relationship Id="rId4" Type="http://schemas.openxmlformats.org/officeDocument/2006/relationships/image" Target="../media/image19.png"/><Relationship Id="rId9" Type="http://schemas.openxmlformats.org/officeDocument/2006/relationships/image" Target="../media/image20.png"/></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2</xdr:col>
      <xdr:colOff>104775</xdr:colOff>
      <xdr:row>40</xdr:row>
      <xdr:rowOff>66675</xdr:rowOff>
    </xdr:from>
    <xdr:to>
      <xdr:col>4</xdr:col>
      <xdr:colOff>180975</xdr:colOff>
      <xdr:row>42</xdr:row>
      <xdr:rowOff>66675</xdr:rowOff>
    </xdr:to>
    <xdr:sp macro="" textlink="">
      <xdr:nvSpPr>
        <xdr:cNvPr id="4" name="Rectangle 3"/>
        <xdr:cNvSpPr/>
      </xdr:nvSpPr>
      <xdr:spPr>
        <a:xfrm>
          <a:off x="762000" y="9991725"/>
          <a:ext cx="2343150" cy="381000"/>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0" strike="noStrike">
              <a:solidFill>
                <a:sysClr val="windowText" lastClr="000000"/>
              </a:solidFill>
              <a:latin typeface="Arial" panose="020B0604020202020204" pitchFamily="34" charset="0"/>
              <a:cs typeface="Arial" panose="020B0604020202020204" pitchFamily="34" charset="0"/>
            </a:rPr>
            <a:t>Adresse i2C +</a:t>
          </a:r>
          <a:r>
            <a:rPr lang="fr-FR" sz="1600" b="0" strike="noStrike" baseline="0">
              <a:solidFill>
                <a:sysClr val="windowText" lastClr="000000"/>
              </a:solidFill>
              <a:latin typeface="Arial" panose="020B0604020202020204" pitchFamily="34" charset="0"/>
              <a:cs typeface="Arial" panose="020B0604020202020204" pitchFamily="34" charset="0"/>
            </a:rPr>
            <a:t> "</a:t>
          </a:r>
          <a:r>
            <a:rPr lang="fr-FR" sz="1600" b="1" strike="noStrike" baseline="0">
              <a:solidFill>
                <a:srgbClr val="C00000"/>
              </a:solidFill>
              <a:latin typeface="Arial" panose="020B0604020202020204" pitchFamily="34" charset="0"/>
              <a:cs typeface="Arial" panose="020B0604020202020204" pitchFamily="34" charset="0"/>
            </a:rPr>
            <a:t>0</a:t>
          </a:r>
          <a:r>
            <a:rPr lang="fr-FR" sz="1600" b="0" strike="noStrike" baseline="0">
              <a:solidFill>
                <a:sysClr val="windowText" lastClr="000000"/>
              </a:solidFill>
              <a:latin typeface="Arial" panose="020B0604020202020204" pitchFamily="34" charset="0"/>
              <a:cs typeface="Arial" panose="020B0604020202020204" pitchFamily="34" charset="0"/>
            </a:rPr>
            <a:t>"</a:t>
          </a:r>
          <a:endParaRPr lang="fr-FR" sz="1600" b="0" strike="noStrike">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276225</xdr:colOff>
      <xdr:row>40</xdr:row>
      <xdr:rowOff>66675</xdr:rowOff>
    </xdr:from>
    <xdr:to>
      <xdr:col>6</xdr:col>
      <xdr:colOff>447674</xdr:colOff>
      <xdr:row>42</xdr:row>
      <xdr:rowOff>66675</xdr:rowOff>
    </xdr:to>
    <xdr:sp macro="" textlink="">
      <xdr:nvSpPr>
        <xdr:cNvPr id="6" name="Rectangle 5"/>
        <xdr:cNvSpPr/>
      </xdr:nvSpPr>
      <xdr:spPr>
        <a:xfrm>
          <a:off x="3924300" y="8162925"/>
          <a:ext cx="2438399" cy="361950"/>
        </a:xfrm>
        <a:prstGeom prst="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0">
              <a:solidFill>
                <a:sysClr val="windowText" lastClr="000000"/>
              </a:solidFill>
              <a:latin typeface="Arial" panose="020B0604020202020204" pitchFamily="34" charset="0"/>
              <a:cs typeface="Arial" panose="020B0604020202020204" pitchFamily="34" charset="0"/>
            </a:rPr>
            <a:t>Adressage du Reg.POINTER to CONFIG (</a:t>
          </a:r>
          <a:r>
            <a:rPr lang="fr-FR" sz="1200" b="0" u="sng">
              <a:solidFill>
                <a:sysClr val="windowText" lastClr="000000"/>
              </a:solidFill>
              <a:latin typeface="Arial" panose="020B0604020202020204" pitchFamily="34" charset="0"/>
              <a:cs typeface="Arial" panose="020B0604020202020204" pitchFamily="34" charset="0"/>
            </a:rPr>
            <a:t>0x.</a:t>
          </a:r>
          <a:r>
            <a:rPr lang="fr-FR" sz="1200" b="0" u="sng">
              <a:solidFill>
                <a:srgbClr val="0000FF"/>
              </a:solidFill>
              <a:latin typeface="Arial" panose="020B0604020202020204" pitchFamily="34" charset="0"/>
              <a:cs typeface="Arial" panose="020B0604020202020204" pitchFamily="34" charset="0"/>
            </a:rPr>
            <a:t>01</a:t>
          </a:r>
          <a:r>
            <a:rPr lang="fr-FR" sz="1200" b="0">
              <a:solidFill>
                <a:sysClr val="windowText" lastClr="000000"/>
              </a:solidFill>
              <a:latin typeface="Arial" panose="020B0604020202020204" pitchFamily="34" charset="0"/>
              <a:cs typeface="Arial" panose="020B0604020202020204" pitchFamily="34" charset="0"/>
            </a:rPr>
            <a:t>) : </a:t>
          </a:r>
          <a:r>
            <a:rPr lang="fr-FR" sz="1200" b="1">
              <a:solidFill>
                <a:sysClr val="windowText" lastClr="000000"/>
              </a:solidFill>
              <a:latin typeface="Arial" panose="020B0604020202020204" pitchFamily="34" charset="0"/>
              <a:cs typeface="Arial" panose="020B0604020202020204" pitchFamily="34" charset="0"/>
            </a:rPr>
            <a:t>0000 00</a:t>
          </a:r>
          <a:r>
            <a:rPr lang="fr-FR" sz="1200" b="1">
              <a:solidFill>
                <a:srgbClr val="0000FF"/>
              </a:solidFill>
              <a:latin typeface="Arial" panose="020B0604020202020204" pitchFamily="34" charset="0"/>
              <a:cs typeface="Arial" panose="020B0604020202020204" pitchFamily="34" charset="0"/>
            </a:rPr>
            <a:t>01</a:t>
          </a:r>
        </a:p>
      </xdr:txBody>
    </xdr:sp>
    <xdr:clientData/>
  </xdr:twoCellAnchor>
  <xdr:twoCellAnchor>
    <xdr:from>
      <xdr:col>6</xdr:col>
      <xdr:colOff>533400</xdr:colOff>
      <xdr:row>40</xdr:row>
      <xdr:rowOff>1</xdr:rowOff>
    </xdr:from>
    <xdr:to>
      <xdr:col>8</xdr:col>
      <xdr:colOff>666750</xdr:colOff>
      <xdr:row>42</xdr:row>
      <xdr:rowOff>133351</xdr:rowOff>
    </xdr:to>
    <xdr:sp macro="" textlink="">
      <xdr:nvSpPr>
        <xdr:cNvPr id="7" name="Rectangle 6"/>
        <xdr:cNvSpPr/>
      </xdr:nvSpPr>
      <xdr:spPr>
        <a:xfrm>
          <a:off x="7743825" y="9925051"/>
          <a:ext cx="2552700" cy="514350"/>
        </a:xfrm>
        <a:prstGeom prst="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0">
              <a:solidFill>
                <a:sysClr val="windowText" lastClr="000000"/>
              </a:solidFill>
              <a:latin typeface="Arial" panose="020B0604020202020204" pitchFamily="34" charset="0"/>
              <a:cs typeface="Arial" panose="020B0604020202020204" pitchFamily="34" charset="0"/>
            </a:rPr>
            <a:t>MSB  </a:t>
          </a:r>
          <a:r>
            <a:rPr lang="fr-FR" sz="1100" b="0">
              <a:solidFill>
                <a:sysClr val="windowText" lastClr="000000"/>
              </a:solidFill>
              <a:latin typeface="Arial" panose="020B0604020202020204" pitchFamily="34" charset="0"/>
              <a:cs typeface="Arial" panose="020B0604020202020204" pitchFamily="34" charset="0"/>
            </a:rPr>
            <a:t>to Reg. CONFIG</a:t>
          </a:r>
        </a:p>
        <a:p>
          <a:pPr algn="ctr"/>
          <a:r>
            <a:rPr lang="fr-FR" sz="1100" b="0">
              <a:solidFill>
                <a:sysClr val="windowText" lastClr="000000"/>
              </a:solidFill>
              <a:latin typeface="Arial" panose="020B0604020202020204" pitchFamily="34" charset="0"/>
              <a:cs typeface="Arial" panose="020B0604020202020204" pitchFamily="34" charset="0"/>
            </a:rPr>
            <a:t>1000 0100</a:t>
          </a:r>
        </a:p>
      </xdr:txBody>
    </xdr:sp>
    <xdr:clientData/>
  </xdr:twoCellAnchor>
  <xdr:twoCellAnchor>
    <xdr:from>
      <xdr:col>2</xdr:col>
      <xdr:colOff>0</xdr:colOff>
      <xdr:row>54</xdr:row>
      <xdr:rowOff>0</xdr:rowOff>
    </xdr:from>
    <xdr:to>
      <xdr:col>4</xdr:col>
      <xdr:colOff>76200</xdr:colOff>
      <xdr:row>56</xdr:row>
      <xdr:rowOff>0</xdr:rowOff>
    </xdr:to>
    <xdr:sp macro="" textlink="">
      <xdr:nvSpPr>
        <xdr:cNvPr id="9" name="Rectangle 8"/>
        <xdr:cNvSpPr/>
      </xdr:nvSpPr>
      <xdr:spPr>
        <a:xfrm>
          <a:off x="1524000" y="9229725"/>
          <a:ext cx="2200275" cy="361950"/>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0" strike="noStrike">
              <a:solidFill>
                <a:sysClr val="windowText" lastClr="000000"/>
              </a:solidFill>
              <a:latin typeface="Arial" panose="020B0604020202020204" pitchFamily="34" charset="0"/>
              <a:cs typeface="Arial" panose="020B0604020202020204" pitchFamily="34" charset="0"/>
            </a:rPr>
            <a:t>Adresse i2C +</a:t>
          </a:r>
          <a:r>
            <a:rPr lang="fr-FR" sz="1600" b="0" strike="noStrike" baseline="0">
              <a:solidFill>
                <a:sysClr val="windowText" lastClr="000000"/>
              </a:solidFill>
              <a:latin typeface="Arial" panose="020B0604020202020204" pitchFamily="34" charset="0"/>
              <a:cs typeface="Arial" panose="020B0604020202020204" pitchFamily="34" charset="0"/>
            </a:rPr>
            <a:t> "</a:t>
          </a:r>
          <a:r>
            <a:rPr lang="fr-FR" sz="1600" b="1" strike="noStrike" baseline="0">
              <a:solidFill>
                <a:srgbClr val="C00000"/>
              </a:solidFill>
              <a:latin typeface="Arial" panose="020B0604020202020204" pitchFamily="34" charset="0"/>
              <a:cs typeface="Arial" panose="020B0604020202020204" pitchFamily="34" charset="0"/>
            </a:rPr>
            <a:t>0</a:t>
          </a:r>
          <a:r>
            <a:rPr lang="fr-FR" sz="1600" b="0" strike="noStrike" baseline="0">
              <a:solidFill>
                <a:sysClr val="windowText" lastClr="000000"/>
              </a:solidFill>
              <a:latin typeface="Arial" panose="020B0604020202020204" pitchFamily="34" charset="0"/>
              <a:cs typeface="Arial" panose="020B0604020202020204" pitchFamily="34" charset="0"/>
            </a:rPr>
            <a:t>"</a:t>
          </a:r>
          <a:endParaRPr lang="fr-FR" sz="1600" b="0" strike="noStrike">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219075</xdr:colOff>
      <xdr:row>54</xdr:row>
      <xdr:rowOff>0</xdr:rowOff>
    </xdr:from>
    <xdr:to>
      <xdr:col>7</xdr:col>
      <xdr:colOff>38100</xdr:colOff>
      <xdr:row>56</xdr:row>
      <xdr:rowOff>0</xdr:rowOff>
    </xdr:to>
    <xdr:sp macro="" textlink="">
      <xdr:nvSpPr>
        <xdr:cNvPr id="10" name="Rectangle 9"/>
        <xdr:cNvSpPr/>
      </xdr:nvSpPr>
      <xdr:spPr>
        <a:xfrm>
          <a:off x="3028950" y="12906375"/>
          <a:ext cx="5353050" cy="381000"/>
        </a:xfrm>
        <a:prstGeom prst="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0">
              <a:solidFill>
                <a:sysClr val="windowText" lastClr="000000"/>
              </a:solidFill>
              <a:latin typeface="Arial" panose="020B0604020202020204" pitchFamily="34" charset="0"/>
              <a:cs typeface="Arial" panose="020B0604020202020204" pitchFamily="34" charset="0"/>
            </a:rPr>
            <a:t>Pointe vers le Reg.CONVERSION (</a:t>
          </a:r>
          <a:r>
            <a:rPr lang="fr-FR" sz="1200" b="0" u="sng">
              <a:solidFill>
                <a:sysClr val="windowText" lastClr="000000"/>
              </a:solidFill>
              <a:latin typeface="Arial" panose="020B0604020202020204" pitchFamily="34" charset="0"/>
              <a:cs typeface="Arial" panose="020B0604020202020204" pitchFamily="34" charset="0"/>
            </a:rPr>
            <a:t>0x</a:t>
          </a:r>
          <a:r>
            <a:rPr lang="fr-FR" sz="1200" b="0" u="sng">
              <a:solidFill>
                <a:srgbClr val="0000FF"/>
              </a:solidFill>
              <a:latin typeface="Arial" panose="020B0604020202020204" pitchFamily="34" charset="0"/>
              <a:cs typeface="Arial" panose="020B0604020202020204" pitchFamily="34" charset="0"/>
            </a:rPr>
            <a:t>.00</a:t>
          </a:r>
          <a:r>
            <a:rPr lang="fr-FR" sz="1200" b="0">
              <a:solidFill>
                <a:sysClr val="windowText" lastClr="000000"/>
              </a:solidFill>
              <a:latin typeface="Arial" panose="020B0604020202020204" pitchFamily="34" charset="0"/>
              <a:cs typeface="Arial" panose="020B0604020202020204" pitchFamily="34" charset="0"/>
            </a:rPr>
            <a:t>) : </a:t>
          </a:r>
          <a:r>
            <a:rPr lang="fr-FR" sz="1200" b="1">
              <a:solidFill>
                <a:sysClr val="windowText" lastClr="000000"/>
              </a:solidFill>
              <a:latin typeface="Arial" panose="020B0604020202020204" pitchFamily="34" charset="0"/>
              <a:cs typeface="Arial" panose="020B0604020202020204" pitchFamily="34" charset="0"/>
            </a:rPr>
            <a:t>0000 00</a:t>
          </a:r>
          <a:r>
            <a:rPr lang="fr-FR" sz="1200" b="1">
              <a:solidFill>
                <a:srgbClr val="0000FF"/>
              </a:solidFill>
              <a:latin typeface="Arial" panose="020B0604020202020204" pitchFamily="34" charset="0"/>
              <a:cs typeface="Arial" panose="020B0604020202020204" pitchFamily="34" charset="0"/>
            </a:rPr>
            <a:t>00</a:t>
          </a:r>
        </a:p>
      </xdr:txBody>
    </xdr:sp>
    <xdr:clientData/>
  </xdr:twoCellAnchor>
  <xdr:twoCellAnchor>
    <xdr:from>
      <xdr:col>8</xdr:col>
      <xdr:colOff>819150</xdr:colOff>
      <xdr:row>40</xdr:row>
      <xdr:rowOff>38100</xdr:rowOff>
    </xdr:from>
    <xdr:to>
      <xdr:col>10</xdr:col>
      <xdr:colOff>1038225</xdr:colOff>
      <xdr:row>42</xdr:row>
      <xdr:rowOff>161925</xdr:rowOff>
    </xdr:to>
    <xdr:sp macro="" textlink="">
      <xdr:nvSpPr>
        <xdr:cNvPr id="11" name="Rectangle 10"/>
        <xdr:cNvSpPr/>
      </xdr:nvSpPr>
      <xdr:spPr>
        <a:xfrm>
          <a:off x="10563225" y="9972675"/>
          <a:ext cx="2486025" cy="647700"/>
        </a:xfrm>
        <a:prstGeom prst="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0">
              <a:solidFill>
                <a:sysClr val="windowText" lastClr="000000"/>
              </a:solidFill>
              <a:latin typeface="Arial" panose="020B0604020202020204" pitchFamily="34" charset="0"/>
              <a:cs typeface="Arial" panose="020B0604020202020204" pitchFamily="34" charset="0"/>
            </a:rPr>
            <a:t>LSB  </a:t>
          </a:r>
          <a:r>
            <a:rPr lang="fr-FR" sz="1100" b="0">
              <a:solidFill>
                <a:sysClr val="windowText" lastClr="000000"/>
              </a:solidFill>
              <a:latin typeface="Arial" panose="020B0604020202020204" pitchFamily="34" charset="0"/>
              <a:cs typeface="Arial" panose="020B0604020202020204" pitchFamily="34" charset="0"/>
            </a:rPr>
            <a:t>to Reg. CONFIG</a:t>
          </a:r>
        </a:p>
        <a:p>
          <a:pPr algn="ctr"/>
          <a:r>
            <a:rPr lang="fr-FR" sz="1100" b="0">
              <a:solidFill>
                <a:sysClr val="windowText" lastClr="000000"/>
              </a:solidFill>
              <a:latin typeface="Arial" panose="020B0604020202020204" pitchFamily="34" charset="0"/>
              <a:cs typeface="Arial" panose="020B0604020202020204" pitchFamily="34" charset="0"/>
            </a:rPr>
            <a:t>1000 0011</a:t>
          </a:r>
        </a:p>
      </xdr:txBody>
    </xdr:sp>
    <xdr:clientData/>
  </xdr:twoCellAnchor>
  <xdr:twoCellAnchor>
    <xdr:from>
      <xdr:col>2</xdr:col>
      <xdr:colOff>0</xdr:colOff>
      <xdr:row>59</xdr:row>
      <xdr:rowOff>0</xdr:rowOff>
    </xdr:from>
    <xdr:to>
      <xdr:col>4</xdr:col>
      <xdr:colOff>76200</xdr:colOff>
      <xdr:row>61</xdr:row>
      <xdr:rowOff>0</xdr:rowOff>
    </xdr:to>
    <xdr:sp macro="" textlink="">
      <xdr:nvSpPr>
        <xdr:cNvPr id="12" name="Rectangle 11"/>
        <xdr:cNvSpPr/>
      </xdr:nvSpPr>
      <xdr:spPr>
        <a:xfrm>
          <a:off x="1524000" y="10868025"/>
          <a:ext cx="2200275" cy="361950"/>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0" strike="noStrike">
              <a:solidFill>
                <a:sysClr val="windowText" lastClr="000000"/>
              </a:solidFill>
              <a:latin typeface="Arial" panose="020B0604020202020204" pitchFamily="34" charset="0"/>
              <a:cs typeface="Arial" panose="020B0604020202020204" pitchFamily="34" charset="0"/>
            </a:rPr>
            <a:t>Adresse i2C +</a:t>
          </a:r>
          <a:r>
            <a:rPr lang="fr-FR" sz="1600" b="0" strike="noStrike" baseline="0">
              <a:solidFill>
                <a:sysClr val="windowText" lastClr="000000"/>
              </a:solidFill>
              <a:latin typeface="Arial" panose="020B0604020202020204" pitchFamily="34" charset="0"/>
              <a:cs typeface="Arial" panose="020B0604020202020204" pitchFamily="34" charset="0"/>
            </a:rPr>
            <a:t> "</a:t>
          </a:r>
          <a:r>
            <a:rPr lang="fr-FR" sz="1600" b="1" strike="noStrike" baseline="0">
              <a:solidFill>
                <a:srgbClr val="C00000"/>
              </a:solidFill>
              <a:latin typeface="Arial" panose="020B0604020202020204" pitchFamily="34" charset="0"/>
              <a:cs typeface="Arial" panose="020B0604020202020204" pitchFamily="34" charset="0"/>
            </a:rPr>
            <a:t>1</a:t>
          </a:r>
          <a:r>
            <a:rPr lang="fr-FR" sz="1600" b="0" strike="noStrike" baseline="0">
              <a:solidFill>
                <a:sysClr val="windowText" lastClr="000000"/>
              </a:solidFill>
              <a:latin typeface="Arial" panose="020B0604020202020204" pitchFamily="34" charset="0"/>
              <a:cs typeface="Arial" panose="020B0604020202020204" pitchFamily="34" charset="0"/>
            </a:rPr>
            <a:t>"</a:t>
          </a:r>
          <a:endParaRPr lang="fr-FR" sz="1600" b="0" strike="noStrike">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314325</xdr:colOff>
      <xdr:row>59</xdr:row>
      <xdr:rowOff>9525</xdr:rowOff>
    </xdr:from>
    <xdr:to>
      <xdr:col>6</xdr:col>
      <xdr:colOff>247650</xdr:colOff>
      <xdr:row>61</xdr:row>
      <xdr:rowOff>9525</xdr:rowOff>
    </xdr:to>
    <xdr:sp macro="" textlink="">
      <xdr:nvSpPr>
        <xdr:cNvPr id="13" name="Rectangle 12"/>
        <xdr:cNvSpPr/>
      </xdr:nvSpPr>
      <xdr:spPr>
        <a:xfrm>
          <a:off x="3124200" y="13992225"/>
          <a:ext cx="4333875" cy="381000"/>
        </a:xfrm>
        <a:prstGeom prst="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0">
              <a:solidFill>
                <a:sysClr val="windowText" lastClr="000000"/>
              </a:solidFill>
              <a:latin typeface="Arial" panose="020B0604020202020204" pitchFamily="34" charset="0"/>
              <a:cs typeface="Arial" panose="020B0604020202020204" pitchFamily="34" charset="0"/>
            </a:rPr>
            <a:t>MSB  du</a:t>
          </a:r>
          <a:r>
            <a:rPr lang="fr-FR" sz="1100" b="0">
              <a:solidFill>
                <a:sysClr val="windowText" lastClr="000000"/>
              </a:solidFill>
              <a:latin typeface="Arial" panose="020B0604020202020204" pitchFamily="34" charset="0"/>
              <a:cs typeface="Arial" panose="020B0604020202020204" pitchFamily="34" charset="0"/>
            </a:rPr>
            <a:t> Reg. CONVERSION</a:t>
          </a:r>
        </a:p>
      </xdr:txBody>
    </xdr:sp>
    <xdr:clientData/>
  </xdr:twoCellAnchor>
  <xdr:twoCellAnchor>
    <xdr:from>
      <xdr:col>6</xdr:col>
      <xdr:colOff>390525</xdr:colOff>
      <xdr:row>59</xdr:row>
      <xdr:rowOff>0</xdr:rowOff>
    </xdr:from>
    <xdr:to>
      <xdr:col>8</xdr:col>
      <xdr:colOff>942975</xdr:colOff>
      <xdr:row>61</xdr:row>
      <xdr:rowOff>0</xdr:rowOff>
    </xdr:to>
    <xdr:sp macro="" textlink="">
      <xdr:nvSpPr>
        <xdr:cNvPr id="14" name="Rectangle 13"/>
        <xdr:cNvSpPr/>
      </xdr:nvSpPr>
      <xdr:spPr>
        <a:xfrm>
          <a:off x="7600950" y="13982700"/>
          <a:ext cx="2971800" cy="381000"/>
        </a:xfrm>
        <a:prstGeom prst="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0">
              <a:solidFill>
                <a:sysClr val="windowText" lastClr="000000"/>
              </a:solidFill>
              <a:latin typeface="Arial" panose="020B0604020202020204" pitchFamily="34" charset="0"/>
              <a:cs typeface="Arial" panose="020B0604020202020204" pitchFamily="34" charset="0"/>
            </a:rPr>
            <a:t>LSB  du</a:t>
          </a:r>
          <a:r>
            <a:rPr lang="fr-FR" sz="1100" b="0">
              <a:solidFill>
                <a:sysClr val="windowText" lastClr="000000"/>
              </a:solidFill>
              <a:latin typeface="Arial" panose="020B0604020202020204" pitchFamily="34" charset="0"/>
              <a:cs typeface="Arial" panose="020B0604020202020204" pitchFamily="34" charset="0"/>
            </a:rPr>
            <a:t> Reg. CONVERSION</a:t>
          </a:r>
        </a:p>
      </xdr:txBody>
    </xdr:sp>
    <xdr:clientData/>
  </xdr:twoCellAnchor>
  <xdr:twoCellAnchor>
    <xdr:from>
      <xdr:col>2</xdr:col>
      <xdr:colOff>295275</xdr:colOff>
      <xdr:row>62</xdr:row>
      <xdr:rowOff>85724</xdr:rowOff>
    </xdr:from>
    <xdr:to>
      <xdr:col>3</xdr:col>
      <xdr:colOff>47625</xdr:colOff>
      <xdr:row>65</xdr:row>
      <xdr:rowOff>190499</xdr:rowOff>
    </xdr:to>
    <xdr:sp macro="" textlink="">
      <xdr:nvSpPr>
        <xdr:cNvPr id="16" name="Rectangle 15"/>
        <xdr:cNvSpPr/>
      </xdr:nvSpPr>
      <xdr:spPr>
        <a:xfrm>
          <a:off x="838200" y="13944599"/>
          <a:ext cx="1257300" cy="676275"/>
        </a:xfrm>
        <a:prstGeom prst="wedgeRectCallout">
          <a:avLst>
            <a:gd name="adj1" fmla="val 56440"/>
            <a:gd name="adj2" fmla="val -108550"/>
          </a:avLst>
        </a:prstGeom>
        <a:solidFill>
          <a:schemeClr val="accent6">
            <a:lumMod val="20000"/>
            <a:lumOff val="80000"/>
          </a:schemeClr>
        </a:solidFill>
        <a:ln w="95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ysClr val="windowText" lastClr="000000"/>
              </a:solidFill>
              <a:latin typeface="Arial" panose="020B0604020202020204" pitchFamily="34" charset="0"/>
              <a:cs typeface="Arial" panose="020B0604020202020204" pitchFamily="34" charset="0"/>
            </a:rPr>
            <a:t>Read Status</a:t>
          </a:r>
        </a:p>
        <a:p>
          <a:pPr marL="0" marR="0" indent="0" algn="ctr" defTabSz="914400" eaLnBrk="1" fontAlgn="auto" latinLnBrk="0" hangingPunct="1">
            <a:lnSpc>
              <a:spcPct val="100000"/>
            </a:lnSpc>
            <a:spcBef>
              <a:spcPts val="0"/>
            </a:spcBef>
            <a:spcAft>
              <a:spcPts val="0"/>
            </a:spcAft>
            <a:buClrTx/>
            <a:buSzTx/>
            <a:buFontTx/>
            <a:buNone/>
            <a:tabLst/>
            <a:defRPr/>
          </a:pPr>
          <a:r>
            <a:rPr lang="fr-FR" sz="1100" b="0">
              <a:solidFill>
                <a:srgbClr val="C00000"/>
              </a:solidFill>
              <a:effectLst/>
              <a:latin typeface="Arial" panose="020B0604020202020204" pitchFamily="34" charset="0"/>
              <a:ea typeface="+mn-ea"/>
              <a:cs typeface="Arial" panose="020B0604020202020204" pitchFamily="34" charset="0"/>
            </a:rPr>
            <a:t>(Facultatif</a:t>
          </a:r>
          <a:r>
            <a:rPr lang="fr-FR" sz="1100" b="0" baseline="0">
              <a:solidFill>
                <a:srgbClr val="C00000"/>
              </a:solidFill>
              <a:effectLst/>
              <a:latin typeface="Arial" panose="020B0604020202020204" pitchFamily="34" charset="0"/>
              <a:ea typeface="+mn-ea"/>
              <a:cs typeface="Arial" panose="020B0604020202020204" pitchFamily="34" charset="0"/>
            </a:rPr>
            <a:t> ?)</a:t>
          </a:r>
          <a:r>
            <a:rPr lang="fr-FR" sz="1800" b="1" baseline="0">
              <a:solidFill>
                <a:srgbClr val="FF0000"/>
              </a:solidFill>
              <a:effectLst/>
              <a:latin typeface="Arial" panose="020B0604020202020204" pitchFamily="34" charset="0"/>
              <a:ea typeface="+mn-ea"/>
              <a:cs typeface="Arial" panose="020B0604020202020204" pitchFamily="34" charset="0"/>
            </a:rPr>
            <a:t>*</a:t>
          </a:r>
          <a:endParaRPr lang="fr-FR" sz="1100">
            <a:solidFill>
              <a:srgbClr val="FF0000"/>
            </a:solidFill>
            <a:effectLst/>
            <a:latin typeface="Arial" panose="020B0604020202020204" pitchFamily="34" charset="0"/>
            <a:cs typeface="Arial" panose="020B0604020202020204" pitchFamily="34" charset="0"/>
          </a:endParaRPr>
        </a:p>
        <a:p>
          <a:pPr algn="ctr"/>
          <a:endParaRPr lang="fr-FR" sz="14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333375</xdr:colOff>
      <xdr:row>43</xdr:row>
      <xdr:rowOff>381000</xdr:rowOff>
    </xdr:from>
    <xdr:to>
      <xdr:col>3</xdr:col>
      <xdr:colOff>85725</xdr:colOff>
      <xdr:row>46</xdr:row>
      <xdr:rowOff>171450</xdr:rowOff>
    </xdr:to>
    <xdr:sp macro="" textlink="">
      <xdr:nvSpPr>
        <xdr:cNvPr id="17" name="Rectangle 16"/>
        <xdr:cNvSpPr/>
      </xdr:nvSpPr>
      <xdr:spPr>
        <a:xfrm>
          <a:off x="914400" y="10477500"/>
          <a:ext cx="1257300" cy="685800"/>
        </a:xfrm>
        <a:prstGeom prst="wedgeRectCallout">
          <a:avLst>
            <a:gd name="adj1" fmla="val 54168"/>
            <a:gd name="adj2" fmla="val 256945"/>
          </a:avLst>
        </a:prstGeom>
        <a:solidFill>
          <a:schemeClr val="accent6">
            <a:lumMod val="20000"/>
            <a:lumOff val="80000"/>
          </a:schemeClr>
        </a:solidFill>
        <a:ln w="95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ysClr val="windowText" lastClr="000000"/>
              </a:solidFill>
              <a:latin typeface="Arial" panose="020B0604020202020204" pitchFamily="34" charset="0"/>
              <a:cs typeface="Arial" panose="020B0604020202020204" pitchFamily="34" charset="0"/>
            </a:rPr>
            <a:t>Write Status</a:t>
          </a:r>
        </a:p>
      </xdr:txBody>
    </xdr:sp>
    <xdr:clientData/>
  </xdr:twoCellAnchor>
  <xdr:twoCellAnchor>
    <xdr:from>
      <xdr:col>2</xdr:col>
      <xdr:colOff>342900</xdr:colOff>
      <xdr:row>43</xdr:row>
      <xdr:rowOff>381000</xdr:rowOff>
    </xdr:from>
    <xdr:to>
      <xdr:col>3</xdr:col>
      <xdr:colOff>95250</xdr:colOff>
      <xdr:row>46</xdr:row>
      <xdr:rowOff>171450</xdr:rowOff>
    </xdr:to>
    <xdr:sp macro="" textlink="">
      <xdr:nvSpPr>
        <xdr:cNvPr id="18" name="Rectangle 17"/>
        <xdr:cNvSpPr/>
      </xdr:nvSpPr>
      <xdr:spPr>
        <a:xfrm>
          <a:off x="628650" y="11344275"/>
          <a:ext cx="1257300" cy="685800"/>
        </a:xfrm>
        <a:prstGeom prst="wedgeRectCallout">
          <a:avLst>
            <a:gd name="adj1" fmla="val 64016"/>
            <a:gd name="adj2" fmla="val -136111"/>
          </a:avLst>
        </a:prstGeom>
        <a:solidFill>
          <a:schemeClr val="accent6">
            <a:lumMod val="20000"/>
            <a:lumOff val="80000"/>
          </a:schemeClr>
        </a:solidFill>
        <a:ln w="95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ysClr val="windowText" lastClr="000000"/>
              </a:solidFill>
              <a:latin typeface="Arial" panose="020B0604020202020204" pitchFamily="34" charset="0"/>
              <a:cs typeface="Arial" panose="020B0604020202020204" pitchFamily="34" charset="0"/>
            </a:rPr>
            <a:t>Write Status</a:t>
          </a:r>
        </a:p>
      </xdr:txBody>
    </xdr:sp>
    <xdr:clientData/>
  </xdr:twoCellAnchor>
  <xdr:twoCellAnchor>
    <xdr:from>
      <xdr:col>2</xdr:col>
      <xdr:colOff>333375</xdr:colOff>
      <xdr:row>43</xdr:row>
      <xdr:rowOff>390525</xdr:rowOff>
    </xdr:from>
    <xdr:to>
      <xdr:col>3</xdr:col>
      <xdr:colOff>85725</xdr:colOff>
      <xdr:row>46</xdr:row>
      <xdr:rowOff>180975</xdr:rowOff>
    </xdr:to>
    <xdr:sp macro="" textlink="">
      <xdr:nvSpPr>
        <xdr:cNvPr id="19" name="Rectangle 18"/>
        <xdr:cNvSpPr/>
      </xdr:nvSpPr>
      <xdr:spPr>
        <a:xfrm>
          <a:off x="619125" y="11353800"/>
          <a:ext cx="1257300" cy="685800"/>
        </a:xfrm>
        <a:prstGeom prst="wedgeRectCallout">
          <a:avLst>
            <a:gd name="adj1" fmla="val 107955"/>
            <a:gd name="adj2" fmla="val 36111"/>
          </a:avLst>
        </a:prstGeom>
        <a:solidFill>
          <a:schemeClr val="accent6">
            <a:lumMod val="20000"/>
            <a:lumOff val="80000"/>
          </a:schemeClr>
        </a:solidFill>
        <a:ln w="952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400" b="1">
              <a:solidFill>
                <a:sysClr val="windowText" lastClr="000000"/>
              </a:solidFill>
              <a:latin typeface="Arial" panose="020B0604020202020204" pitchFamily="34" charset="0"/>
              <a:cs typeface="Arial" panose="020B0604020202020204" pitchFamily="34" charset="0"/>
            </a:rPr>
            <a:t>Write Status</a:t>
          </a:r>
        </a:p>
        <a:p>
          <a:pPr algn="ctr"/>
          <a:r>
            <a:rPr lang="fr-FR" sz="1100" b="0">
              <a:solidFill>
                <a:srgbClr val="C00000"/>
              </a:solidFill>
              <a:latin typeface="Arial" panose="020B0604020202020204" pitchFamily="34" charset="0"/>
              <a:cs typeface="Arial" panose="020B0604020202020204" pitchFamily="34" charset="0"/>
            </a:rPr>
            <a:t>(Facultatif</a:t>
          </a:r>
          <a:r>
            <a:rPr lang="fr-FR" sz="1100" b="0" baseline="0">
              <a:solidFill>
                <a:srgbClr val="C00000"/>
              </a:solidFill>
              <a:latin typeface="Arial" panose="020B0604020202020204" pitchFamily="34" charset="0"/>
              <a:cs typeface="Arial" panose="020B0604020202020204" pitchFamily="34" charset="0"/>
            </a:rPr>
            <a:t> ?)</a:t>
          </a:r>
          <a:r>
            <a:rPr lang="fr-FR" sz="1800" b="1" baseline="0">
              <a:solidFill>
                <a:srgbClr val="FF0000"/>
              </a:solidFill>
              <a:latin typeface="Arial" panose="020B0604020202020204" pitchFamily="34" charset="0"/>
              <a:cs typeface="Arial" panose="020B0604020202020204" pitchFamily="34" charset="0"/>
            </a:rPr>
            <a:t>*</a:t>
          </a:r>
          <a:endParaRPr lang="fr-FR" sz="1100" b="1">
            <a:solidFill>
              <a:srgbClr val="FF0000"/>
            </a:solidFill>
            <a:latin typeface="Arial" panose="020B0604020202020204" pitchFamily="34" charset="0"/>
            <a:cs typeface="Arial" panose="020B0604020202020204" pitchFamily="34" charset="0"/>
          </a:endParaRPr>
        </a:p>
      </xdr:txBody>
    </xdr:sp>
    <xdr:clientData/>
  </xdr:twoCellAnchor>
  <xdr:twoCellAnchor editAs="oneCell">
    <xdr:from>
      <xdr:col>13</xdr:col>
      <xdr:colOff>657225</xdr:colOff>
      <xdr:row>0</xdr:row>
      <xdr:rowOff>0</xdr:rowOff>
    </xdr:from>
    <xdr:to>
      <xdr:col>16</xdr:col>
      <xdr:colOff>1365723</xdr:colOff>
      <xdr:row>11</xdr:row>
      <xdr:rowOff>316943</xdr:rowOff>
    </xdr:to>
    <xdr:pic>
      <xdr:nvPicPr>
        <xdr:cNvPr id="5" name="Imag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63825" y="0"/>
          <a:ext cx="4108923" cy="3079193"/>
        </a:xfrm>
        <a:prstGeom prst="rect">
          <a:avLst/>
        </a:prstGeom>
      </xdr:spPr>
    </xdr:pic>
    <xdr:clientData/>
  </xdr:twoCellAnchor>
  <xdr:twoCellAnchor editAs="oneCell">
    <xdr:from>
      <xdr:col>6</xdr:col>
      <xdr:colOff>657226</xdr:colOff>
      <xdr:row>28</xdr:row>
      <xdr:rowOff>76200</xdr:rowOff>
    </xdr:from>
    <xdr:to>
      <xdr:col>7</xdr:col>
      <xdr:colOff>1104901</xdr:colOff>
      <xdr:row>32</xdr:row>
      <xdr:rowOff>66675</xdr:rowOff>
    </xdr:to>
    <xdr:sp macro="" textlink="">
      <xdr:nvSpPr>
        <xdr:cNvPr id="2" name="ZoneTexte 1"/>
        <xdr:cNvSpPr txBox="1"/>
      </xdr:nvSpPr>
      <xdr:spPr>
        <a:xfrm>
          <a:off x="7867651" y="7734300"/>
          <a:ext cx="1581150" cy="752475"/>
        </a:xfrm>
        <a:prstGeom prst="rect">
          <a:avLst/>
        </a:prstGeom>
        <a:solidFill>
          <a:srgbClr val="F9FDD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latin typeface="Arial" panose="020B0604020202020204" pitchFamily="34" charset="0"/>
              <a:cs typeface="Arial" panose="020B0604020202020204" pitchFamily="34" charset="0"/>
            </a:rPr>
            <a:t>Normal measurement between GND</a:t>
          </a:r>
        </a:p>
      </xdr:txBody>
    </xdr:sp>
    <xdr:clientData/>
  </xdr:twoCellAnchor>
  <xdr:twoCellAnchor editAs="oneCell">
    <xdr:from>
      <xdr:col>7</xdr:col>
      <xdr:colOff>942975</xdr:colOff>
      <xdr:row>68</xdr:row>
      <xdr:rowOff>142875</xdr:rowOff>
    </xdr:from>
    <xdr:to>
      <xdr:col>14</xdr:col>
      <xdr:colOff>1130300</xdr:colOff>
      <xdr:row>98</xdr:row>
      <xdr:rowOff>184150</xdr:rowOff>
    </xdr:to>
    <xdr:pic>
      <xdr:nvPicPr>
        <xdr:cNvPr id="15" name="Image 1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01175" y="16421100"/>
          <a:ext cx="7569200" cy="6604000"/>
        </a:xfrm>
        <a:prstGeom prst="rect">
          <a:avLst/>
        </a:prstGeom>
      </xdr:spPr>
    </xdr:pic>
    <xdr:clientData/>
  </xdr:twoCellAnchor>
  <xdr:twoCellAnchor editAs="oneCell">
    <xdr:from>
      <xdr:col>6</xdr:col>
      <xdr:colOff>1047750</xdr:colOff>
      <xdr:row>24</xdr:row>
      <xdr:rowOff>114300</xdr:rowOff>
    </xdr:from>
    <xdr:to>
      <xdr:col>7</xdr:col>
      <xdr:colOff>1143000</xdr:colOff>
      <xdr:row>27</xdr:row>
      <xdr:rowOff>114300</xdr:rowOff>
    </xdr:to>
    <xdr:sp macro="" textlink="">
      <xdr:nvSpPr>
        <xdr:cNvPr id="22" name="ZoneTexte 21"/>
        <xdr:cNvSpPr txBox="1"/>
      </xdr:nvSpPr>
      <xdr:spPr>
        <a:xfrm>
          <a:off x="8372475" y="6867525"/>
          <a:ext cx="1228725" cy="714375"/>
        </a:xfrm>
        <a:prstGeom prst="rect">
          <a:avLst/>
        </a:prstGeom>
        <a:solidFill>
          <a:srgbClr val="FDF7E7"/>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latin typeface="Arial" panose="020B0604020202020204" pitchFamily="34" charset="0"/>
              <a:cs typeface="Arial" panose="020B0604020202020204" pitchFamily="34" charset="0"/>
            </a:rPr>
            <a:t>Differential measurement</a:t>
          </a:r>
        </a:p>
      </xdr:txBody>
    </xdr:sp>
    <xdr:clientData/>
  </xdr:twoCellAnchor>
  <xdr:twoCellAnchor editAs="oneCell">
    <xdr:from>
      <xdr:col>1</xdr:col>
      <xdr:colOff>457200</xdr:colOff>
      <xdr:row>1</xdr:row>
      <xdr:rowOff>120650</xdr:rowOff>
    </xdr:from>
    <xdr:to>
      <xdr:col>2</xdr:col>
      <xdr:colOff>601684</xdr:colOff>
      <xdr:row>1</xdr:row>
      <xdr:rowOff>638175</xdr:rowOff>
    </xdr:to>
    <xdr:pic>
      <xdr:nvPicPr>
        <xdr:cNvPr id="20" name="Image 1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1975" y="225425"/>
          <a:ext cx="696934" cy="517525"/>
        </a:xfrm>
        <a:prstGeom prst="rect">
          <a:avLst/>
        </a:prstGeom>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133350</xdr:colOff>
      <xdr:row>19</xdr:row>
      <xdr:rowOff>142875</xdr:rowOff>
    </xdr:from>
    <xdr:to>
      <xdr:col>3</xdr:col>
      <xdr:colOff>381000</xdr:colOff>
      <xdr:row>23</xdr:row>
      <xdr:rowOff>0</xdr:rowOff>
    </xdr:to>
    <xdr:sp macro="" textlink="">
      <xdr:nvSpPr>
        <xdr:cNvPr id="2" name="Légende encadrée 2 1"/>
        <xdr:cNvSpPr/>
      </xdr:nvSpPr>
      <xdr:spPr>
        <a:xfrm>
          <a:off x="1885950" y="3781425"/>
          <a:ext cx="1390650" cy="619125"/>
        </a:xfrm>
        <a:prstGeom prst="borderCallout2">
          <a:avLst>
            <a:gd name="adj1" fmla="val 31058"/>
            <a:gd name="adj2" fmla="val 99201"/>
            <a:gd name="adj3" fmla="val 32596"/>
            <a:gd name="adj4" fmla="val 121688"/>
            <a:gd name="adj5" fmla="val -155192"/>
            <a:gd name="adj6" fmla="val 198539"/>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fr-FR" sz="1100"/>
            <a:t>Quotient de la division par deux</a:t>
          </a:r>
        </a:p>
      </xdr:txBody>
    </xdr:sp>
    <xdr:clientData/>
  </xdr:twoCellAnchor>
  <xdr:twoCellAnchor>
    <xdr:from>
      <xdr:col>2</xdr:col>
      <xdr:colOff>390525</xdr:colOff>
      <xdr:row>23</xdr:row>
      <xdr:rowOff>152400</xdr:rowOff>
    </xdr:from>
    <xdr:to>
      <xdr:col>3</xdr:col>
      <xdr:colOff>638175</xdr:colOff>
      <xdr:row>27</xdr:row>
      <xdr:rowOff>9525</xdr:rowOff>
    </xdr:to>
    <xdr:sp macro="" textlink="">
      <xdr:nvSpPr>
        <xdr:cNvPr id="3" name="Légende encadrée 2 2"/>
        <xdr:cNvSpPr/>
      </xdr:nvSpPr>
      <xdr:spPr>
        <a:xfrm>
          <a:off x="2143125" y="4552950"/>
          <a:ext cx="1390650" cy="619125"/>
        </a:xfrm>
        <a:prstGeom prst="borderCallout2">
          <a:avLst>
            <a:gd name="adj1" fmla="val 31058"/>
            <a:gd name="adj2" fmla="val 99201"/>
            <a:gd name="adj3" fmla="val 32596"/>
            <a:gd name="adj4" fmla="val 121688"/>
            <a:gd name="adj5" fmla="val -245962"/>
            <a:gd name="adj6" fmla="val 235525"/>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fr-FR" sz="1100"/>
            <a:t>Reste de la division par deux</a:t>
          </a:r>
        </a:p>
      </xdr:txBody>
    </xdr:sp>
    <xdr:clientData/>
  </xdr:twoCellAnchor>
  <xdr:twoCellAnchor>
    <xdr:from>
      <xdr:col>2</xdr:col>
      <xdr:colOff>609600</xdr:colOff>
      <xdr:row>28</xdr:row>
      <xdr:rowOff>9525</xdr:rowOff>
    </xdr:from>
    <xdr:to>
      <xdr:col>4</xdr:col>
      <xdr:colOff>95250</xdr:colOff>
      <xdr:row>31</xdr:row>
      <xdr:rowOff>57150</xdr:rowOff>
    </xdr:to>
    <xdr:sp macro="" textlink="">
      <xdr:nvSpPr>
        <xdr:cNvPr id="4" name="Légende encadrée 2 3"/>
        <xdr:cNvSpPr/>
      </xdr:nvSpPr>
      <xdr:spPr>
        <a:xfrm>
          <a:off x="2362200" y="5362575"/>
          <a:ext cx="1390650" cy="619125"/>
        </a:xfrm>
        <a:prstGeom prst="borderCallout2">
          <a:avLst>
            <a:gd name="adj1" fmla="val 31058"/>
            <a:gd name="adj2" fmla="val 99201"/>
            <a:gd name="adj3" fmla="val 32596"/>
            <a:gd name="adj4" fmla="val 121688"/>
            <a:gd name="adj5" fmla="val -321347"/>
            <a:gd name="adj6" fmla="val 241005"/>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fr-FR" sz="1100"/>
            <a:t>Le nombre positif converti en base 2</a:t>
          </a:r>
        </a:p>
      </xdr:txBody>
    </xdr:sp>
    <xdr:clientData/>
  </xdr:twoCellAnchor>
  <xdr:twoCellAnchor>
    <xdr:from>
      <xdr:col>5</xdr:col>
      <xdr:colOff>638175</xdr:colOff>
      <xdr:row>24</xdr:row>
      <xdr:rowOff>171450</xdr:rowOff>
    </xdr:from>
    <xdr:to>
      <xdr:col>6</xdr:col>
      <xdr:colOff>1266825</xdr:colOff>
      <xdr:row>28</xdr:row>
      <xdr:rowOff>28575</xdr:rowOff>
    </xdr:to>
    <xdr:sp macro="" textlink="">
      <xdr:nvSpPr>
        <xdr:cNvPr id="5" name="Légende encadrée 2 4"/>
        <xdr:cNvSpPr/>
      </xdr:nvSpPr>
      <xdr:spPr>
        <a:xfrm>
          <a:off x="5057775" y="4762500"/>
          <a:ext cx="1390650" cy="619125"/>
        </a:xfrm>
        <a:prstGeom prst="borderCallout2">
          <a:avLst>
            <a:gd name="adj1" fmla="val 31058"/>
            <a:gd name="adj2" fmla="val 99201"/>
            <a:gd name="adj3" fmla="val 32596"/>
            <a:gd name="adj4" fmla="val 121688"/>
            <a:gd name="adj5" fmla="val -507499"/>
            <a:gd name="adj6" fmla="val 143060"/>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fr-FR" sz="1100"/>
            <a:t>on</a:t>
          </a:r>
          <a:r>
            <a:rPr lang="fr-FR" sz="1100" baseline="0"/>
            <a:t> inverse les bits</a:t>
          </a:r>
          <a:endParaRPr lang="fr-FR" sz="1100"/>
        </a:p>
      </xdr:txBody>
    </xdr:sp>
    <xdr:clientData/>
  </xdr:twoCellAnchor>
  <xdr:twoCellAnchor>
    <xdr:from>
      <xdr:col>10</xdr:col>
      <xdr:colOff>742950</xdr:colOff>
      <xdr:row>21</xdr:row>
      <xdr:rowOff>180975</xdr:rowOff>
    </xdr:from>
    <xdr:to>
      <xdr:col>12</xdr:col>
      <xdr:colOff>609600</xdr:colOff>
      <xdr:row>25</xdr:row>
      <xdr:rowOff>38100</xdr:rowOff>
    </xdr:to>
    <xdr:sp macro="" textlink="">
      <xdr:nvSpPr>
        <xdr:cNvPr id="6" name="Légende encadrée 2 5"/>
        <xdr:cNvSpPr/>
      </xdr:nvSpPr>
      <xdr:spPr>
        <a:xfrm>
          <a:off x="10448925" y="4200525"/>
          <a:ext cx="1390650" cy="619125"/>
        </a:xfrm>
        <a:prstGeom prst="borderCallout2">
          <a:avLst>
            <a:gd name="adj1" fmla="val 38750"/>
            <a:gd name="adj2" fmla="val -1484"/>
            <a:gd name="adj3" fmla="val 11058"/>
            <a:gd name="adj4" fmla="val -24887"/>
            <a:gd name="adj5" fmla="val -412115"/>
            <a:gd name="adj6" fmla="val -79543"/>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fr-FR" sz="1100"/>
            <a:t>on additionne le bit avec la retenue précédente</a:t>
          </a:r>
        </a:p>
      </xdr:txBody>
    </xdr:sp>
    <xdr:clientData/>
  </xdr:twoCellAnchor>
  <xdr:twoCellAnchor>
    <xdr:from>
      <xdr:col>6</xdr:col>
      <xdr:colOff>66675</xdr:colOff>
      <xdr:row>30</xdr:row>
      <xdr:rowOff>142875</xdr:rowOff>
    </xdr:from>
    <xdr:to>
      <xdr:col>7</xdr:col>
      <xdr:colOff>1000125</xdr:colOff>
      <xdr:row>34</xdr:row>
      <xdr:rowOff>0</xdr:rowOff>
    </xdr:to>
    <xdr:sp macro="" textlink="">
      <xdr:nvSpPr>
        <xdr:cNvPr id="7" name="Légende encadrée 2 6"/>
        <xdr:cNvSpPr/>
      </xdr:nvSpPr>
      <xdr:spPr>
        <a:xfrm>
          <a:off x="5248275" y="5876925"/>
          <a:ext cx="2266950" cy="619125"/>
        </a:xfrm>
        <a:prstGeom prst="borderCallout2">
          <a:avLst>
            <a:gd name="adj1" fmla="val 31058"/>
            <a:gd name="adj2" fmla="val 99201"/>
            <a:gd name="adj3" fmla="val 35673"/>
            <a:gd name="adj4" fmla="val 116140"/>
            <a:gd name="adj5" fmla="val -682883"/>
            <a:gd name="adj6" fmla="val 121775"/>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fr-FR" sz="1100"/>
            <a:t>Après avoir additionné le bit</a:t>
          </a:r>
          <a:r>
            <a:rPr lang="fr-FR" sz="1100" baseline="0"/>
            <a:t> avec la retenue précédente, on calcule la nouvelle retenue</a:t>
          </a:r>
          <a:endParaRPr lang="fr-FR" sz="1100"/>
        </a:p>
      </xdr:txBody>
    </xdr:sp>
    <xdr:clientData/>
  </xdr:twoCellAnchor>
  <xdr:twoCellAnchor>
    <xdr:from>
      <xdr:col>9</xdr:col>
      <xdr:colOff>333375</xdr:colOff>
      <xdr:row>32</xdr:row>
      <xdr:rowOff>95250</xdr:rowOff>
    </xdr:from>
    <xdr:to>
      <xdr:col>10</xdr:col>
      <xdr:colOff>676275</xdr:colOff>
      <xdr:row>35</xdr:row>
      <xdr:rowOff>142875</xdr:rowOff>
    </xdr:to>
    <xdr:sp macro="" textlink="">
      <xdr:nvSpPr>
        <xdr:cNvPr id="8" name="Légende encadrée 2 7"/>
        <xdr:cNvSpPr/>
      </xdr:nvSpPr>
      <xdr:spPr>
        <a:xfrm>
          <a:off x="8896350" y="6210300"/>
          <a:ext cx="1485900" cy="619125"/>
        </a:xfrm>
        <a:prstGeom prst="borderCallout2">
          <a:avLst>
            <a:gd name="adj1" fmla="val 37212"/>
            <a:gd name="adj2" fmla="val -379"/>
            <a:gd name="adj3" fmla="val 38750"/>
            <a:gd name="adj4" fmla="val -19574"/>
            <a:gd name="adj5" fmla="val -490575"/>
            <a:gd name="adj6" fmla="val -40911"/>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fr-FR" sz="1100"/>
            <a:t>On laisee</a:t>
          </a:r>
          <a:r>
            <a:rPr lang="fr-FR" sz="1100" baseline="0"/>
            <a:t> tomberl a dernière retenue</a:t>
          </a:r>
          <a:endParaRPr lang="fr-FR" sz="1100"/>
        </a:p>
      </xdr:txBody>
    </xdr:sp>
    <xdr:clientData/>
  </xdr:twoCellAnchor>
  <xdr:twoCellAnchor>
    <xdr:from>
      <xdr:col>9</xdr:col>
      <xdr:colOff>809625</xdr:colOff>
      <xdr:row>27</xdr:row>
      <xdr:rowOff>104775</xdr:rowOff>
    </xdr:from>
    <xdr:to>
      <xdr:col>11</xdr:col>
      <xdr:colOff>495300</xdr:colOff>
      <xdr:row>30</xdr:row>
      <xdr:rowOff>57150</xdr:rowOff>
    </xdr:to>
    <xdr:sp macro="" textlink="">
      <xdr:nvSpPr>
        <xdr:cNvPr id="9" name="Légende encadrée 2 8"/>
        <xdr:cNvSpPr/>
      </xdr:nvSpPr>
      <xdr:spPr>
        <a:xfrm>
          <a:off x="9372600" y="5267325"/>
          <a:ext cx="1590675" cy="523875"/>
        </a:xfrm>
        <a:prstGeom prst="borderCallout2">
          <a:avLst>
            <a:gd name="adj1" fmla="val 37212"/>
            <a:gd name="adj2" fmla="val -379"/>
            <a:gd name="adj3" fmla="val 38750"/>
            <a:gd name="adj4" fmla="val -19574"/>
            <a:gd name="adj5" fmla="val -348337"/>
            <a:gd name="adj6" fmla="val -35894"/>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fr-FR" sz="1100"/>
            <a:t>Le nombre négatif en base 2</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133350</xdr:colOff>
      <xdr:row>19</xdr:row>
      <xdr:rowOff>142875</xdr:rowOff>
    </xdr:from>
    <xdr:to>
      <xdr:col>6</xdr:col>
      <xdr:colOff>381000</xdr:colOff>
      <xdr:row>23</xdr:row>
      <xdr:rowOff>0</xdr:rowOff>
    </xdr:to>
    <xdr:sp macro="" textlink="">
      <xdr:nvSpPr>
        <xdr:cNvPr id="2" name="Légende encadrée 2 1"/>
        <xdr:cNvSpPr/>
      </xdr:nvSpPr>
      <xdr:spPr>
        <a:xfrm>
          <a:off x="5734050" y="3800475"/>
          <a:ext cx="1390650" cy="619125"/>
        </a:xfrm>
        <a:prstGeom prst="borderCallout2">
          <a:avLst>
            <a:gd name="adj1" fmla="val 31058"/>
            <a:gd name="adj2" fmla="val 99201"/>
            <a:gd name="adj3" fmla="val 32596"/>
            <a:gd name="adj4" fmla="val 121688"/>
            <a:gd name="adj5" fmla="val -309038"/>
            <a:gd name="adj6" fmla="val 195114"/>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fr-FR" sz="1100"/>
            <a:t>Quotient de la division par deux</a:t>
          </a:r>
        </a:p>
      </xdr:txBody>
    </xdr:sp>
    <xdr:clientData/>
  </xdr:twoCellAnchor>
  <xdr:twoCellAnchor>
    <xdr:from>
      <xdr:col>5</xdr:col>
      <xdr:colOff>390525</xdr:colOff>
      <xdr:row>23</xdr:row>
      <xdr:rowOff>152400</xdr:rowOff>
    </xdr:from>
    <xdr:to>
      <xdr:col>6</xdr:col>
      <xdr:colOff>638175</xdr:colOff>
      <xdr:row>27</xdr:row>
      <xdr:rowOff>9525</xdr:rowOff>
    </xdr:to>
    <xdr:sp macro="" textlink="">
      <xdr:nvSpPr>
        <xdr:cNvPr id="3" name="Légende encadrée 2 2"/>
        <xdr:cNvSpPr/>
      </xdr:nvSpPr>
      <xdr:spPr>
        <a:xfrm>
          <a:off x="5991225" y="4572000"/>
          <a:ext cx="1390650" cy="619125"/>
        </a:xfrm>
        <a:prstGeom prst="borderCallout2">
          <a:avLst>
            <a:gd name="adj1" fmla="val 31058"/>
            <a:gd name="adj2" fmla="val 99201"/>
            <a:gd name="adj3" fmla="val 32596"/>
            <a:gd name="adj4" fmla="val 121688"/>
            <a:gd name="adj5" fmla="val -433654"/>
            <a:gd name="adj6" fmla="val 235525"/>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fr-FR" sz="1100"/>
            <a:t>Reste de la division par deux</a:t>
          </a:r>
        </a:p>
      </xdr:txBody>
    </xdr:sp>
    <xdr:clientData/>
  </xdr:twoCellAnchor>
  <xdr:twoCellAnchor>
    <xdr:from>
      <xdr:col>5</xdr:col>
      <xdr:colOff>609600</xdr:colOff>
      <xdr:row>28</xdr:row>
      <xdr:rowOff>9525</xdr:rowOff>
    </xdr:from>
    <xdr:to>
      <xdr:col>7</xdr:col>
      <xdr:colOff>95250</xdr:colOff>
      <xdr:row>31</xdr:row>
      <xdr:rowOff>57150</xdr:rowOff>
    </xdr:to>
    <xdr:sp macro="" textlink="">
      <xdr:nvSpPr>
        <xdr:cNvPr id="4" name="Légende encadrée 2 3"/>
        <xdr:cNvSpPr/>
      </xdr:nvSpPr>
      <xdr:spPr>
        <a:xfrm>
          <a:off x="6210300" y="5381625"/>
          <a:ext cx="1390650" cy="619125"/>
        </a:xfrm>
        <a:prstGeom prst="borderCallout2">
          <a:avLst>
            <a:gd name="adj1" fmla="val 31058"/>
            <a:gd name="adj2" fmla="val 99201"/>
            <a:gd name="adj3" fmla="val 32596"/>
            <a:gd name="adj4" fmla="val 121688"/>
            <a:gd name="adj5" fmla="val -298270"/>
            <a:gd name="adj6" fmla="val 256758"/>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lang="fr-FR" sz="1100"/>
            <a:t>Le nombre positif converti en base 2</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1057275</xdr:colOff>
      <xdr:row>0</xdr:row>
      <xdr:rowOff>200025</xdr:rowOff>
    </xdr:from>
    <xdr:to>
      <xdr:col>0</xdr:col>
      <xdr:colOff>1660144</xdr:colOff>
      <xdr:row>1</xdr:row>
      <xdr:rowOff>400050</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275" y="200025"/>
          <a:ext cx="602869" cy="428625"/>
        </a:xfrm>
        <a:prstGeom prst="rect">
          <a:avLst/>
        </a:prstGeom>
      </xdr:spPr>
    </xdr:pic>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6</xdr:col>
      <xdr:colOff>657226</xdr:colOff>
      <xdr:row>16</xdr:row>
      <xdr:rowOff>76201</xdr:rowOff>
    </xdr:from>
    <xdr:to>
      <xdr:col>7</xdr:col>
      <xdr:colOff>1190625</xdr:colOff>
      <xdr:row>19</xdr:row>
      <xdr:rowOff>142875</xdr:rowOff>
    </xdr:to>
    <xdr:sp macro="" textlink="">
      <xdr:nvSpPr>
        <xdr:cNvPr id="2" name="ZoneTexte 1"/>
        <xdr:cNvSpPr txBox="1"/>
      </xdr:nvSpPr>
      <xdr:spPr>
        <a:xfrm>
          <a:off x="6448426" y="4171951"/>
          <a:ext cx="1666874" cy="638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0">
              <a:latin typeface="Arial" panose="020B0604020202020204" pitchFamily="34" charset="0"/>
              <a:cs typeface="Arial" panose="020B0604020202020204" pitchFamily="34" charset="0"/>
            </a:rPr>
            <a:t>Normal measurement between GND</a:t>
          </a:r>
        </a:p>
      </xdr:txBody>
    </xdr:sp>
    <xdr:clientData/>
  </xdr:twoCellAnchor>
  <xdr:twoCellAnchor editAs="oneCell">
    <xdr:from>
      <xdr:col>6</xdr:col>
      <xdr:colOff>1114425</xdr:colOff>
      <xdr:row>12</xdr:row>
      <xdr:rowOff>76200</xdr:rowOff>
    </xdr:from>
    <xdr:to>
      <xdr:col>7</xdr:col>
      <xdr:colOff>1200150</xdr:colOff>
      <xdr:row>15</xdr:row>
      <xdr:rowOff>142875</xdr:rowOff>
    </xdr:to>
    <xdr:sp macro="" textlink="">
      <xdr:nvSpPr>
        <xdr:cNvPr id="3" name="ZoneTexte 2"/>
        <xdr:cNvSpPr txBox="1"/>
      </xdr:nvSpPr>
      <xdr:spPr>
        <a:xfrm>
          <a:off x="6905625" y="3409950"/>
          <a:ext cx="1219200"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0">
              <a:latin typeface="Arial" panose="020B0604020202020204" pitchFamily="34" charset="0"/>
              <a:cs typeface="Arial" panose="020B0604020202020204" pitchFamily="34" charset="0"/>
            </a:rPr>
            <a:t>Differential measurement</a:t>
          </a:r>
        </a:p>
      </xdr:txBody>
    </xdr:sp>
    <xdr:clientData/>
  </xdr:twoCellAnchor>
  <xdr:twoCellAnchor editAs="oneCell">
    <xdr:from>
      <xdr:col>9</xdr:col>
      <xdr:colOff>352425</xdr:colOff>
      <xdr:row>6</xdr:row>
      <xdr:rowOff>28575</xdr:rowOff>
    </xdr:from>
    <xdr:to>
      <xdr:col>10</xdr:col>
      <xdr:colOff>193294</xdr:colOff>
      <xdr:row>8</xdr:row>
      <xdr:rowOff>47625</xdr:rowOff>
    </xdr:to>
    <xdr:pic>
      <xdr:nvPicPr>
        <xdr:cNvPr id="4" name="Imag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24975" y="2095500"/>
          <a:ext cx="602869" cy="447675"/>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17</xdr:row>
      <xdr:rowOff>9525</xdr:rowOff>
    </xdr:from>
    <xdr:to>
      <xdr:col>3</xdr:col>
      <xdr:colOff>19050</xdr:colOff>
      <xdr:row>21</xdr:row>
      <xdr:rowOff>180975</xdr:rowOff>
    </xdr:to>
    <xdr:cxnSp macro="">
      <xdr:nvCxnSpPr>
        <xdr:cNvPr id="3" name="Connecteur droit 2"/>
        <xdr:cNvCxnSpPr/>
      </xdr:nvCxnSpPr>
      <xdr:spPr>
        <a:xfrm flipV="1">
          <a:off x="1095375" y="4457700"/>
          <a:ext cx="2886075" cy="933450"/>
        </a:xfrm>
        <a:prstGeom prst="line">
          <a:avLst/>
        </a:prstGeom>
        <a:ln w="158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1066800</xdr:colOff>
      <xdr:row>13</xdr:row>
      <xdr:rowOff>57150</xdr:rowOff>
    </xdr:from>
    <xdr:to>
      <xdr:col>5</xdr:col>
      <xdr:colOff>2228849</xdr:colOff>
      <xdr:row>16</xdr:row>
      <xdr:rowOff>152400</xdr:rowOff>
    </xdr:to>
    <xdr:sp macro="" textlink="">
      <xdr:nvSpPr>
        <xdr:cNvPr id="4" name="ZoneTexte 3"/>
        <xdr:cNvSpPr txBox="1"/>
      </xdr:nvSpPr>
      <xdr:spPr>
        <a:xfrm>
          <a:off x="7162800" y="3733800"/>
          <a:ext cx="1162049"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0">
              <a:latin typeface="Arial" panose="020B0604020202020204" pitchFamily="34" charset="0"/>
              <a:cs typeface="Arial" panose="020B0604020202020204" pitchFamily="34" charset="0"/>
            </a:rPr>
            <a:t>Differential measurement</a:t>
          </a:r>
        </a:p>
      </xdr:txBody>
    </xdr:sp>
    <xdr:clientData/>
  </xdr:twoCellAnchor>
  <xdr:twoCellAnchor editAs="oneCell">
    <xdr:from>
      <xdr:col>5</xdr:col>
      <xdr:colOff>657225</xdr:colOff>
      <xdr:row>17</xdr:row>
      <xdr:rowOff>76200</xdr:rowOff>
    </xdr:from>
    <xdr:to>
      <xdr:col>5</xdr:col>
      <xdr:colOff>2238375</xdr:colOff>
      <xdr:row>21</xdr:row>
      <xdr:rowOff>76199</xdr:rowOff>
    </xdr:to>
    <xdr:sp macro="" textlink="">
      <xdr:nvSpPr>
        <xdr:cNvPr id="5" name="ZoneTexte 4"/>
        <xdr:cNvSpPr txBox="1"/>
      </xdr:nvSpPr>
      <xdr:spPr>
        <a:xfrm>
          <a:off x="6753225" y="4524375"/>
          <a:ext cx="1581150" cy="761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0">
              <a:latin typeface="Arial" panose="020B0604020202020204" pitchFamily="34" charset="0"/>
              <a:cs typeface="Arial" panose="020B0604020202020204" pitchFamily="34" charset="0"/>
            </a:rPr>
            <a:t>Normal measurement between GND</a:t>
          </a:r>
        </a:p>
      </xdr:txBody>
    </xdr:sp>
    <xdr:clientData/>
  </xdr:twoCellAnchor>
  <xdr:twoCellAnchor editAs="oneCell">
    <xdr:from>
      <xdr:col>2</xdr:col>
      <xdr:colOff>504825</xdr:colOff>
      <xdr:row>31</xdr:row>
      <xdr:rowOff>180974</xdr:rowOff>
    </xdr:from>
    <xdr:to>
      <xdr:col>5</xdr:col>
      <xdr:colOff>2163159</xdr:colOff>
      <xdr:row>53</xdr:row>
      <xdr:rowOff>152399</xdr:rowOff>
    </xdr:to>
    <xdr:pic>
      <xdr:nvPicPr>
        <xdr:cNvPr id="7" name="Imag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90675" y="7019924"/>
          <a:ext cx="6668484" cy="4162425"/>
        </a:xfrm>
        <a:prstGeom prst="rect">
          <a:avLst/>
        </a:prstGeom>
      </xdr:spPr>
    </xdr:pic>
    <xdr:clientData/>
  </xdr:twoCellAnchor>
  <xdr:twoCellAnchor editAs="oneCell">
    <xdr:from>
      <xdr:col>6</xdr:col>
      <xdr:colOff>114300</xdr:colOff>
      <xdr:row>33</xdr:row>
      <xdr:rowOff>47625</xdr:rowOff>
    </xdr:from>
    <xdr:to>
      <xdr:col>13</xdr:col>
      <xdr:colOff>650256</xdr:colOff>
      <xdr:row>55</xdr:row>
      <xdr:rowOff>114300</xdr:rowOff>
    </xdr:to>
    <xdr:pic>
      <xdr:nvPicPr>
        <xdr:cNvPr id="8" name="Image 7"/>
        <xdr:cNvPicPr>
          <a:picLocks noChangeAspect="1"/>
        </xdr:cNvPicPr>
      </xdr:nvPicPr>
      <xdr:blipFill>
        <a:blip xmlns:r="http://schemas.openxmlformats.org/officeDocument/2006/relationships" r:embed="rId2"/>
        <a:stretch>
          <a:fillRect/>
        </a:stretch>
      </xdr:blipFill>
      <xdr:spPr>
        <a:xfrm>
          <a:off x="8524875" y="7267575"/>
          <a:ext cx="7060581" cy="4257675"/>
        </a:xfrm>
        <a:prstGeom prst="rect">
          <a:avLst/>
        </a:prstGeom>
      </xdr:spPr>
    </xdr:pic>
    <xdr:clientData/>
  </xdr:twoCellAnchor>
  <xdr:twoCellAnchor editAs="oneCell">
    <xdr:from>
      <xdr:col>14</xdr:col>
      <xdr:colOff>1000125</xdr:colOff>
      <xdr:row>34</xdr:row>
      <xdr:rowOff>161925</xdr:rowOff>
    </xdr:from>
    <xdr:to>
      <xdr:col>17</xdr:col>
      <xdr:colOff>1163764</xdr:colOff>
      <xdr:row>52</xdr:row>
      <xdr:rowOff>95250</xdr:rowOff>
    </xdr:to>
    <xdr:pic>
      <xdr:nvPicPr>
        <xdr:cNvPr id="12" name="Image 11"/>
        <xdr:cNvPicPr>
          <a:picLocks noChangeAspect="1"/>
        </xdr:cNvPicPr>
      </xdr:nvPicPr>
      <xdr:blipFill>
        <a:blip xmlns:r="http://schemas.openxmlformats.org/officeDocument/2006/relationships" r:embed="rId3"/>
        <a:stretch>
          <a:fillRect/>
        </a:stretch>
      </xdr:blipFill>
      <xdr:spPr>
        <a:xfrm>
          <a:off x="16640175" y="7572375"/>
          <a:ext cx="3564064" cy="3362325"/>
        </a:xfrm>
        <a:prstGeom prst="rect">
          <a:avLst/>
        </a:prstGeom>
      </xdr:spPr>
    </xdr:pic>
    <xdr:clientData/>
  </xdr:twoCellAnchor>
  <xdr:twoCellAnchor editAs="oneCell">
    <xdr:from>
      <xdr:col>1</xdr:col>
      <xdr:colOff>76200</xdr:colOff>
      <xdr:row>1</xdr:row>
      <xdr:rowOff>9525</xdr:rowOff>
    </xdr:from>
    <xdr:to>
      <xdr:col>1</xdr:col>
      <xdr:colOff>679069</xdr:colOff>
      <xdr:row>2</xdr:row>
      <xdr:rowOff>9525</xdr:rowOff>
    </xdr:to>
    <xdr:pic>
      <xdr:nvPicPr>
        <xdr:cNvPr id="9" name="Image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6700" y="200025"/>
          <a:ext cx="602869" cy="447675"/>
        </a:xfrm>
        <a:prstGeom prst="rect">
          <a:avLst/>
        </a:prstGeom>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6</xdr:col>
      <xdr:colOff>333374</xdr:colOff>
      <xdr:row>28</xdr:row>
      <xdr:rowOff>28702</xdr:rowOff>
    </xdr:from>
    <xdr:to>
      <xdr:col>9</xdr:col>
      <xdr:colOff>381000</xdr:colOff>
      <xdr:row>34</xdr:row>
      <xdr:rowOff>266700</xdr:rowOff>
    </xdr:to>
    <xdr:pic>
      <xdr:nvPicPr>
        <xdr:cNvPr id="2" name="Image 1"/>
        <xdr:cNvPicPr>
          <a:picLocks noChangeAspect="1"/>
        </xdr:cNvPicPr>
      </xdr:nvPicPr>
      <xdr:blipFill>
        <a:blip xmlns:r="http://schemas.openxmlformats.org/officeDocument/2006/relationships" r:embed="rId1"/>
        <a:stretch>
          <a:fillRect/>
        </a:stretch>
      </xdr:blipFill>
      <xdr:spPr>
        <a:xfrm>
          <a:off x="6457949" y="6258052"/>
          <a:ext cx="2962276" cy="1923923"/>
        </a:xfrm>
        <a:prstGeom prst="rect">
          <a:avLst/>
        </a:prstGeom>
      </xdr:spPr>
    </xdr:pic>
    <xdr:clientData/>
  </xdr:twoCellAnchor>
  <xdr:twoCellAnchor editAs="oneCell">
    <xdr:from>
      <xdr:col>2</xdr:col>
      <xdr:colOff>93473</xdr:colOff>
      <xdr:row>2</xdr:row>
      <xdr:rowOff>123824</xdr:rowOff>
    </xdr:from>
    <xdr:to>
      <xdr:col>2</xdr:col>
      <xdr:colOff>824612</xdr:colOff>
      <xdr:row>3</xdr:row>
      <xdr:rowOff>123824</xdr:rowOff>
    </xdr:to>
    <xdr:pic>
      <xdr:nvPicPr>
        <xdr:cNvPr id="3" name="Imag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79373" y="257174"/>
          <a:ext cx="731139" cy="542925"/>
        </a:xfrm>
        <a:prstGeom prst="rect">
          <a:avLst/>
        </a:prstGeom>
      </xdr:spPr>
    </xdr:pic>
    <xdr:clientData fPrintsWithSheet="0"/>
  </xdr:twoCellAnchor>
  <xdr:twoCellAnchor editAs="oneCell">
    <xdr:from>
      <xdr:col>11</xdr:col>
      <xdr:colOff>514349</xdr:colOff>
      <xdr:row>3</xdr:row>
      <xdr:rowOff>50459</xdr:rowOff>
    </xdr:from>
    <xdr:to>
      <xdr:col>14</xdr:col>
      <xdr:colOff>1809073</xdr:colOff>
      <xdr:row>27</xdr:row>
      <xdr:rowOff>256262</xdr:rowOff>
    </xdr:to>
    <xdr:pic>
      <xdr:nvPicPr>
        <xdr:cNvPr id="4" name="Image 3"/>
        <xdr:cNvPicPr>
          <a:picLocks noChangeAspect="1"/>
        </xdr:cNvPicPr>
      </xdr:nvPicPr>
      <xdr:blipFill>
        <a:blip xmlns:r="http://schemas.openxmlformats.org/officeDocument/2006/relationships" r:embed="rId3"/>
        <a:stretch>
          <a:fillRect/>
        </a:stretch>
      </xdr:blipFill>
      <xdr:spPr>
        <a:xfrm>
          <a:off x="10439399" y="641009"/>
          <a:ext cx="4123649" cy="5568378"/>
        </a:xfrm>
        <a:prstGeom prst="rect">
          <a:avLst/>
        </a:prstGeom>
      </xdr:spPr>
    </xdr:pic>
    <xdr:clientData/>
  </xdr:twoCellAnchor>
  <xdr:twoCellAnchor>
    <xdr:from>
      <xdr:col>6</xdr:col>
      <xdr:colOff>742952</xdr:colOff>
      <xdr:row>41</xdr:row>
      <xdr:rowOff>47627</xdr:rowOff>
    </xdr:from>
    <xdr:to>
      <xdr:col>7</xdr:col>
      <xdr:colOff>561976</xdr:colOff>
      <xdr:row>42</xdr:row>
      <xdr:rowOff>180976</xdr:rowOff>
    </xdr:to>
    <xdr:sp macro="" textlink="">
      <xdr:nvSpPr>
        <xdr:cNvPr id="5" name="ZoneTexte 4"/>
        <xdr:cNvSpPr txBox="1"/>
      </xdr:nvSpPr>
      <xdr:spPr>
        <a:xfrm>
          <a:off x="6867527" y="9667877"/>
          <a:ext cx="981074" cy="209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rgbClr val="C00000"/>
              </a:solidFill>
              <a:latin typeface="Arial" panose="020B0604020202020204" pitchFamily="34" charset="0"/>
              <a:cs typeface="Arial" panose="020B0604020202020204" pitchFamily="34" charset="0"/>
            </a:rPr>
            <a:t>x 256=</a:t>
          </a:r>
        </a:p>
      </xdr:txBody>
    </xdr:sp>
    <xdr:clientData/>
  </xdr:twoCellAnchor>
  <xdr:twoCellAnchor>
    <xdr:from>
      <xdr:col>12</xdr:col>
      <xdr:colOff>466725</xdr:colOff>
      <xdr:row>28</xdr:row>
      <xdr:rowOff>95250</xdr:rowOff>
    </xdr:from>
    <xdr:to>
      <xdr:col>14</xdr:col>
      <xdr:colOff>1228725</xdr:colOff>
      <xdr:row>35</xdr:row>
      <xdr:rowOff>28575</xdr:rowOff>
    </xdr:to>
    <xdr:sp macro="" textlink="">
      <xdr:nvSpPr>
        <xdr:cNvPr id="6" name="ZoneTexte 5"/>
        <xdr:cNvSpPr txBox="1"/>
      </xdr:nvSpPr>
      <xdr:spPr>
        <a:xfrm>
          <a:off x="10972800" y="6267450"/>
          <a:ext cx="2828925" cy="200025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400" b="1" u="sng">
              <a:latin typeface="Arial" panose="020B0604020202020204" pitchFamily="34" charset="0"/>
              <a:cs typeface="Arial" panose="020B0604020202020204" pitchFamily="34" charset="0"/>
            </a:rPr>
            <a:t>Valeurs de ADC</a:t>
          </a:r>
        </a:p>
        <a:p>
          <a:pPr algn="ctr"/>
          <a:endParaRPr lang="fr-FR" sz="1100">
            <a:latin typeface="Arial" panose="020B0604020202020204" pitchFamily="34" charset="0"/>
            <a:cs typeface="Arial" panose="020B0604020202020204" pitchFamily="34" charset="0"/>
          </a:endParaRPr>
        </a:p>
        <a:p>
          <a:pPr algn="ctr"/>
          <a:r>
            <a:rPr lang="fr-FR" sz="1600" b="1">
              <a:latin typeface="Arial" panose="020B0604020202020204" pitchFamily="34" charset="0"/>
              <a:cs typeface="Arial" panose="020B0604020202020204" pitchFamily="34" charset="0"/>
            </a:rPr>
            <a:t>Mode Différentiel:</a:t>
          </a:r>
        </a:p>
        <a:p>
          <a:pPr algn="ctr"/>
          <a:r>
            <a:rPr lang="fr-FR" sz="1600">
              <a:latin typeface="Arial" panose="020B0604020202020204" pitchFamily="34" charset="0"/>
              <a:cs typeface="Arial" panose="020B0604020202020204" pitchFamily="34" charset="0"/>
            </a:rPr>
            <a:t>de 0 à 65535</a:t>
          </a:r>
        </a:p>
        <a:p>
          <a:pPr algn="ctr"/>
          <a:endParaRPr lang="fr-FR" sz="1600">
            <a:latin typeface="Arial" panose="020B0604020202020204" pitchFamily="34" charset="0"/>
            <a:cs typeface="Arial" panose="020B0604020202020204" pitchFamily="34" charset="0"/>
          </a:endParaRPr>
        </a:p>
        <a:p>
          <a:pPr algn="ctr"/>
          <a:r>
            <a:rPr lang="fr-FR" sz="1600" b="1">
              <a:latin typeface="Arial" panose="020B0604020202020204" pitchFamily="34" charset="0"/>
              <a:cs typeface="Arial" panose="020B0604020202020204" pitchFamily="34" charset="0"/>
            </a:rPr>
            <a:t>Mode</a:t>
          </a:r>
          <a:r>
            <a:rPr lang="fr-FR" sz="1600" b="1" baseline="0">
              <a:latin typeface="Arial" panose="020B0604020202020204" pitchFamily="34" charset="0"/>
              <a:cs typeface="Arial" panose="020B0604020202020204" pitchFamily="34" charset="0"/>
            </a:rPr>
            <a:t> "Normal GND":</a:t>
          </a:r>
        </a:p>
        <a:p>
          <a:pPr algn="ctr"/>
          <a:r>
            <a:rPr lang="fr-FR" sz="1600" baseline="0">
              <a:latin typeface="Arial" panose="020B0604020202020204" pitchFamily="34" charset="0"/>
              <a:cs typeface="Arial" panose="020B0604020202020204" pitchFamily="34" charset="0"/>
            </a:rPr>
            <a:t>  de 0 à 32767 </a:t>
          </a:r>
          <a:r>
            <a:rPr lang="fr-FR" sz="1400" baseline="0">
              <a:latin typeface="Arial" panose="020B0604020202020204" pitchFamily="34" charset="0"/>
              <a:cs typeface="Arial" panose="020B0604020202020204" pitchFamily="34" charset="0"/>
            </a:rPr>
            <a:t>(15 bits)</a:t>
          </a:r>
          <a:endParaRPr lang="fr-FR" sz="1400">
            <a:latin typeface="Arial" panose="020B0604020202020204" pitchFamily="34" charset="0"/>
            <a:cs typeface="Arial" panose="020B0604020202020204" pitchFamily="34" charset="0"/>
          </a:endParaRPr>
        </a:p>
      </xdr:txBody>
    </xdr:sp>
    <xdr:clientData/>
  </xdr:twoCellAnchor>
  <xdr:twoCellAnchor>
    <xdr:from>
      <xdr:col>6</xdr:col>
      <xdr:colOff>247650</xdr:colOff>
      <xdr:row>17</xdr:row>
      <xdr:rowOff>161924</xdr:rowOff>
    </xdr:from>
    <xdr:to>
      <xdr:col>8</xdr:col>
      <xdr:colOff>552449</xdr:colOff>
      <xdr:row>20</xdr:row>
      <xdr:rowOff>76199</xdr:rowOff>
    </xdr:to>
    <xdr:sp macro="" textlink="">
      <xdr:nvSpPr>
        <xdr:cNvPr id="7" name="ZoneTexte 6"/>
        <xdr:cNvSpPr txBox="1"/>
      </xdr:nvSpPr>
      <xdr:spPr>
        <a:xfrm>
          <a:off x="6315075" y="4010024"/>
          <a:ext cx="2333624" cy="714375"/>
        </a:xfrm>
        <a:prstGeom prst="rect">
          <a:avLst/>
        </a:prstGeom>
        <a:noFill/>
        <a:ln w="9525" cmpd="sng">
          <a:solidFill>
            <a:schemeClr val="accent5">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u="sng">
              <a:solidFill>
                <a:schemeClr val="accent5">
                  <a:lumMod val="75000"/>
                </a:schemeClr>
              </a:solidFill>
              <a:latin typeface="Arial" panose="020B0604020202020204" pitchFamily="34" charset="0"/>
              <a:cs typeface="Arial" panose="020B0604020202020204" pitchFamily="34" charset="0"/>
            </a:rPr>
            <a:t>Précision</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514350</xdr:colOff>
      <xdr:row>11</xdr:row>
      <xdr:rowOff>333375</xdr:rowOff>
    </xdr:from>
    <xdr:to>
      <xdr:col>14</xdr:col>
      <xdr:colOff>123149</xdr:colOff>
      <xdr:row>30</xdr:row>
      <xdr:rowOff>234378</xdr:rowOff>
    </xdr:to>
    <xdr:pic>
      <xdr:nvPicPr>
        <xdr:cNvPr id="2" name="Image 1"/>
        <xdr:cNvPicPr>
          <a:picLocks noChangeAspect="1"/>
        </xdr:cNvPicPr>
      </xdr:nvPicPr>
      <xdr:blipFill>
        <a:blip xmlns:r="http://schemas.openxmlformats.org/officeDocument/2006/relationships" r:embed="rId1"/>
        <a:stretch>
          <a:fillRect/>
        </a:stretch>
      </xdr:blipFill>
      <xdr:spPr>
        <a:xfrm>
          <a:off x="12592050" y="4600575"/>
          <a:ext cx="4123649" cy="5568378"/>
        </a:xfrm>
        <a:prstGeom prst="rect">
          <a:avLst/>
        </a:prstGeom>
      </xdr:spPr>
    </xdr:pic>
    <xdr:clientData/>
  </xdr:twoCellAnchor>
  <xdr:twoCellAnchor>
    <xdr:from>
      <xdr:col>3</xdr:col>
      <xdr:colOff>361950</xdr:colOff>
      <xdr:row>70</xdr:row>
      <xdr:rowOff>104775</xdr:rowOff>
    </xdr:from>
    <xdr:to>
      <xdr:col>4</xdr:col>
      <xdr:colOff>780672</xdr:colOff>
      <xdr:row>72</xdr:row>
      <xdr:rowOff>9525</xdr:rowOff>
    </xdr:to>
    <xdr:sp macro="" textlink="">
      <xdr:nvSpPr>
        <xdr:cNvPr id="3" name="Virage 2"/>
        <xdr:cNvSpPr/>
      </xdr:nvSpPr>
      <xdr:spPr>
        <a:xfrm rot="5400000" flipH="1" flipV="1">
          <a:off x="2533461" y="20936139"/>
          <a:ext cx="400050" cy="118072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clientData/>
  </xdr:twoCellAnchor>
  <xdr:twoCellAnchor>
    <xdr:from>
      <xdr:col>4</xdr:col>
      <xdr:colOff>962025</xdr:colOff>
      <xdr:row>70</xdr:row>
      <xdr:rowOff>114303</xdr:rowOff>
    </xdr:from>
    <xdr:to>
      <xdr:col>6</xdr:col>
      <xdr:colOff>742951</xdr:colOff>
      <xdr:row>72</xdr:row>
      <xdr:rowOff>19053</xdr:rowOff>
    </xdr:to>
    <xdr:sp macro="" textlink="">
      <xdr:nvSpPr>
        <xdr:cNvPr id="4" name="Virage 3"/>
        <xdr:cNvSpPr/>
      </xdr:nvSpPr>
      <xdr:spPr>
        <a:xfrm rot="5400000" flipH="1">
          <a:off x="5619751" y="19221452"/>
          <a:ext cx="400050" cy="4629151"/>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clientData/>
  </xdr:twoCellAnchor>
  <xdr:twoCellAnchor>
    <xdr:from>
      <xdr:col>2</xdr:col>
      <xdr:colOff>357636</xdr:colOff>
      <xdr:row>72</xdr:row>
      <xdr:rowOff>66676</xdr:rowOff>
    </xdr:from>
    <xdr:to>
      <xdr:col>4</xdr:col>
      <xdr:colOff>866775</xdr:colOff>
      <xdr:row>74</xdr:row>
      <xdr:rowOff>9526</xdr:rowOff>
    </xdr:to>
    <xdr:sp macro="" textlink="">
      <xdr:nvSpPr>
        <xdr:cNvPr id="12" name="ZoneTexte 11"/>
        <xdr:cNvSpPr txBox="1"/>
      </xdr:nvSpPr>
      <xdr:spPr>
        <a:xfrm>
          <a:off x="1376811" y="21783676"/>
          <a:ext cx="2033139"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b="1">
              <a:latin typeface="Arial" panose="020B0604020202020204" pitchFamily="34" charset="0"/>
              <a:cs typeface="Arial" panose="020B0604020202020204" pitchFamily="34" charset="0"/>
            </a:rPr>
            <a:t>Valeur d'entrée vers HEX</a:t>
          </a:r>
        </a:p>
      </xdr:txBody>
    </xdr:sp>
    <xdr:clientData/>
  </xdr:twoCellAnchor>
  <xdr:twoCellAnchor editAs="oneCell">
    <xdr:from>
      <xdr:col>1</xdr:col>
      <xdr:colOff>276225</xdr:colOff>
      <xdr:row>1</xdr:row>
      <xdr:rowOff>111125</xdr:rowOff>
    </xdr:from>
    <xdr:to>
      <xdr:col>2</xdr:col>
      <xdr:colOff>257175</xdr:colOff>
      <xdr:row>1</xdr:row>
      <xdr:rowOff>628650</xdr:rowOff>
    </xdr:to>
    <xdr:pic>
      <xdr:nvPicPr>
        <xdr:cNvPr id="16" name="Image 1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3400" y="187325"/>
          <a:ext cx="742950" cy="517525"/>
        </a:xfrm>
        <a:prstGeom prst="rect">
          <a:avLst/>
        </a:prstGeom>
      </xdr:spPr>
    </xdr:pic>
    <xdr:clientData fPrintsWithSheet="0"/>
  </xdr:twoCellAnchor>
  <xdr:twoCellAnchor>
    <xdr:from>
      <xdr:col>4</xdr:col>
      <xdr:colOff>1110384</xdr:colOff>
      <xdr:row>70</xdr:row>
      <xdr:rowOff>142876</xdr:rowOff>
    </xdr:from>
    <xdr:to>
      <xdr:col>6</xdr:col>
      <xdr:colOff>600075</xdr:colOff>
      <xdr:row>71</xdr:row>
      <xdr:rowOff>266701</xdr:rowOff>
    </xdr:to>
    <xdr:sp macro="" textlink="">
      <xdr:nvSpPr>
        <xdr:cNvPr id="15" name="ZoneTexte 14"/>
        <xdr:cNvSpPr txBox="1"/>
      </xdr:nvSpPr>
      <xdr:spPr>
        <a:xfrm>
          <a:off x="3653559" y="21364576"/>
          <a:ext cx="433791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b="1">
              <a:latin typeface="Arial" panose="020B0604020202020204" pitchFamily="34" charset="0"/>
              <a:cs typeface="Arial" panose="020B0604020202020204" pitchFamily="34" charset="0"/>
            </a:rPr>
            <a:t>(Valeur d'entrée vers Complément à 2 (DEC non  signé))</a:t>
          </a:r>
        </a:p>
      </xdr:txBody>
    </xdr:sp>
    <xdr:clientData/>
  </xdr:twoCellAnchor>
  <xdr:twoCellAnchor>
    <xdr:from>
      <xdr:col>5</xdr:col>
      <xdr:colOff>847724</xdr:colOff>
      <xdr:row>72</xdr:row>
      <xdr:rowOff>180974</xdr:rowOff>
    </xdr:from>
    <xdr:to>
      <xdr:col>6</xdr:col>
      <xdr:colOff>771524</xdr:colOff>
      <xdr:row>76</xdr:row>
      <xdr:rowOff>152400</xdr:rowOff>
    </xdr:to>
    <xdr:grpSp>
      <xdr:nvGrpSpPr>
        <xdr:cNvPr id="10" name="Groupe 9"/>
        <xdr:cNvGrpSpPr/>
      </xdr:nvGrpSpPr>
      <xdr:grpSpPr>
        <a:xfrm>
          <a:off x="5038724" y="22145624"/>
          <a:ext cx="3124200" cy="733426"/>
          <a:chOff x="5172074" y="22659974"/>
          <a:chExt cx="3124200" cy="733426"/>
        </a:xfrm>
      </xdr:grpSpPr>
      <xdr:sp macro="" textlink="">
        <xdr:nvSpPr>
          <xdr:cNvPr id="11" name="Virage 10"/>
          <xdr:cNvSpPr/>
        </xdr:nvSpPr>
        <xdr:spPr>
          <a:xfrm rot="5400000" flipH="1" flipV="1">
            <a:off x="6415091" y="21445536"/>
            <a:ext cx="400050" cy="2828926"/>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sp macro="" textlink="">
        <xdr:nvSpPr>
          <xdr:cNvPr id="19" name="ZoneTexte 18"/>
          <xdr:cNvSpPr txBox="1"/>
        </xdr:nvSpPr>
        <xdr:spPr>
          <a:xfrm>
            <a:off x="5172074" y="23069550"/>
            <a:ext cx="31242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b="1">
                <a:latin typeface="Arial" panose="020B0604020202020204" pitchFamily="34" charset="0"/>
                <a:cs typeface="Arial" panose="020B0604020202020204" pitchFamily="34" charset="0"/>
              </a:rPr>
              <a:t>Complément à 2 </a:t>
            </a:r>
            <a:r>
              <a:rPr lang="fr-FR" sz="1200" b="1" u="sng">
                <a:latin typeface="Arial" panose="020B0604020202020204" pitchFamily="34" charset="0"/>
                <a:cs typeface="Arial" panose="020B0604020202020204" pitchFamily="34" charset="0"/>
              </a:rPr>
              <a:t>Binaire / 16 BITS</a:t>
            </a:r>
          </a:p>
        </xdr:txBody>
      </xdr:sp>
    </xdr:grpSp>
    <xdr:clientData/>
  </xdr:twoCellAnchor>
  <xdr:twoCellAnchor>
    <xdr:from>
      <xdr:col>5</xdr:col>
      <xdr:colOff>1619250</xdr:colOff>
      <xdr:row>76</xdr:row>
      <xdr:rowOff>114300</xdr:rowOff>
    </xdr:from>
    <xdr:to>
      <xdr:col>7</xdr:col>
      <xdr:colOff>1091545</xdr:colOff>
      <xdr:row>80</xdr:row>
      <xdr:rowOff>161925</xdr:rowOff>
    </xdr:to>
    <xdr:grpSp>
      <xdr:nvGrpSpPr>
        <xdr:cNvPr id="9" name="Groupe 8"/>
        <xdr:cNvGrpSpPr/>
      </xdr:nvGrpSpPr>
      <xdr:grpSpPr>
        <a:xfrm>
          <a:off x="5810250" y="22840950"/>
          <a:ext cx="3901420" cy="809625"/>
          <a:chOff x="5715000" y="21917025"/>
          <a:chExt cx="3901420" cy="809625"/>
        </a:xfrm>
      </xdr:grpSpPr>
      <xdr:sp macro="" textlink="">
        <xdr:nvSpPr>
          <xdr:cNvPr id="5" name="Virage 4"/>
          <xdr:cNvSpPr/>
        </xdr:nvSpPr>
        <xdr:spPr>
          <a:xfrm rot="5400000" flipH="1">
            <a:off x="7465685" y="20166340"/>
            <a:ext cx="400050" cy="390142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sp macro="" textlink="">
        <xdr:nvSpPr>
          <xdr:cNvPr id="22" name="ZoneTexte 21"/>
          <xdr:cNvSpPr txBox="1"/>
        </xdr:nvSpPr>
        <xdr:spPr>
          <a:xfrm>
            <a:off x="5781673" y="22402800"/>
            <a:ext cx="3733801"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b="1">
                <a:latin typeface="Arial" panose="020B0604020202020204" pitchFamily="34" charset="0"/>
                <a:cs typeface="Arial" panose="020B0604020202020204" pitchFamily="34" charset="0"/>
              </a:rPr>
              <a:t>(Binaire vers </a:t>
            </a:r>
            <a:r>
              <a:rPr lang="fr-FR" sz="1200" b="1">
                <a:solidFill>
                  <a:schemeClr val="dk1"/>
                </a:solidFill>
                <a:effectLst/>
                <a:latin typeface="Arial" panose="020B0604020202020204" pitchFamily="34" charset="0"/>
                <a:ea typeface="+mn-ea"/>
                <a:cs typeface="Arial" panose="020B0604020202020204" pitchFamily="34" charset="0"/>
              </a:rPr>
              <a:t>Complément à 2 (DEC non signé))</a:t>
            </a:r>
            <a:endParaRPr lang="fr-FR" sz="1200" b="1">
              <a:latin typeface="Arial" panose="020B0604020202020204" pitchFamily="34" charset="0"/>
              <a:cs typeface="Arial" panose="020B0604020202020204" pitchFamily="34" charset="0"/>
            </a:endParaRPr>
          </a:p>
        </xdr:txBody>
      </xdr:sp>
    </xdr:grpSp>
    <xdr:clientData/>
  </xdr:twoCellAnchor>
  <xdr:twoCellAnchor>
    <xdr:from>
      <xdr:col>10</xdr:col>
      <xdr:colOff>523875</xdr:colOff>
      <xdr:row>37</xdr:row>
      <xdr:rowOff>257175</xdr:rowOff>
    </xdr:from>
    <xdr:to>
      <xdr:col>12</xdr:col>
      <xdr:colOff>981075</xdr:colOff>
      <xdr:row>44</xdr:row>
      <xdr:rowOff>247650</xdr:rowOff>
    </xdr:to>
    <xdr:sp macro="" textlink="">
      <xdr:nvSpPr>
        <xdr:cNvPr id="6" name="ZoneTexte 5"/>
        <xdr:cNvSpPr txBox="1"/>
      </xdr:nvSpPr>
      <xdr:spPr>
        <a:xfrm>
          <a:off x="12601575" y="11877675"/>
          <a:ext cx="2828925" cy="200025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400" b="1" u="sng">
              <a:latin typeface="Arial" panose="020B0604020202020204" pitchFamily="34" charset="0"/>
              <a:cs typeface="Arial" panose="020B0604020202020204" pitchFamily="34" charset="0"/>
            </a:rPr>
            <a:t>Valeurs de ADC</a:t>
          </a:r>
        </a:p>
        <a:p>
          <a:pPr algn="ctr"/>
          <a:endParaRPr lang="fr-FR" sz="1100">
            <a:latin typeface="Arial" panose="020B0604020202020204" pitchFamily="34" charset="0"/>
            <a:cs typeface="Arial" panose="020B0604020202020204" pitchFamily="34" charset="0"/>
          </a:endParaRPr>
        </a:p>
        <a:p>
          <a:pPr algn="ctr"/>
          <a:r>
            <a:rPr lang="fr-FR" sz="1600" b="1">
              <a:latin typeface="Arial" panose="020B0604020202020204" pitchFamily="34" charset="0"/>
              <a:cs typeface="Arial" panose="020B0604020202020204" pitchFamily="34" charset="0"/>
            </a:rPr>
            <a:t>Mode Différentiel:</a:t>
          </a:r>
        </a:p>
        <a:p>
          <a:pPr algn="ctr"/>
          <a:r>
            <a:rPr lang="fr-FR" sz="1600">
              <a:latin typeface="Arial" panose="020B0604020202020204" pitchFamily="34" charset="0"/>
              <a:cs typeface="Arial" panose="020B0604020202020204" pitchFamily="34" charset="0"/>
            </a:rPr>
            <a:t>de 0 à 65535 </a:t>
          </a:r>
          <a:r>
            <a:rPr lang="fr-FR" sz="1400">
              <a:latin typeface="Arial" panose="020B0604020202020204" pitchFamily="34" charset="0"/>
              <a:cs typeface="Arial" panose="020B0604020202020204" pitchFamily="34" charset="0"/>
            </a:rPr>
            <a:t>(16 bits)</a:t>
          </a:r>
          <a:endParaRPr lang="fr-FR" sz="1600">
            <a:latin typeface="Arial" panose="020B0604020202020204" pitchFamily="34" charset="0"/>
            <a:cs typeface="Arial" panose="020B0604020202020204" pitchFamily="34" charset="0"/>
          </a:endParaRPr>
        </a:p>
        <a:p>
          <a:pPr algn="ctr"/>
          <a:endParaRPr lang="fr-FR" sz="1600">
            <a:latin typeface="Arial" panose="020B0604020202020204" pitchFamily="34" charset="0"/>
            <a:cs typeface="Arial" panose="020B0604020202020204" pitchFamily="34" charset="0"/>
          </a:endParaRPr>
        </a:p>
        <a:p>
          <a:pPr algn="ctr"/>
          <a:r>
            <a:rPr lang="fr-FR" sz="1600" b="1">
              <a:latin typeface="Arial" panose="020B0604020202020204" pitchFamily="34" charset="0"/>
              <a:cs typeface="Arial" panose="020B0604020202020204" pitchFamily="34" charset="0"/>
            </a:rPr>
            <a:t>Mode</a:t>
          </a:r>
          <a:r>
            <a:rPr lang="fr-FR" sz="1600" b="1" baseline="0">
              <a:latin typeface="Arial" panose="020B0604020202020204" pitchFamily="34" charset="0"/>
              <a:cs typeface="Arial" panose="020B0604020202020204" pitchFamily="34" charset="0"/>
            </a:rPr>
            <a:t> "Normal GND":</a:t>
          </a:r>
        </a:p>
        <a:p>
          <a:pPr algn="ctr"/>
          <a:r>
            <a:rPr lang="fr-FR" sz="1600" baseline="0">
              <a:latin typeface="Arial" panose="020B0604020202020204" pitchFamily="34" charset="0"/>
              <a:cs typeface="Arial" panose="020B0604020202020204" pitchFamily="34" charset="0"/>
            </a:rPr>
            <a:t>  de 0 à 32767 </a:t>
          </a:r>
          <a:r>
            <a:rPr lang="fr-FR" sz="1400" baseline="0">
              <a:latin typeface="Arial" panose="020B0604020202020204" pitchFamily="34" charset="0"/>
              <a:cs typeface="Arial" panose="020B0604020202020204" pitchFamily="34" charset="0"/>
            </a:rPr>
            <a:t>(15 bits)</a:t>
          </a:r>
          <a:endParaRPr lang="fr-FR" sz="1400">
            <a:latin typeface="Arial" panose="020B0604020202020204" pitchFamily="34" charset="0"/>
            <a:cs typeface="Arial" panose="020B0604020202020204" pitchFamily="34" charset="0"/>
          </a:endParaRPr>
        </a:p>
      </xdr:txBody>
    </xdr:sp>
    <xdr:clientData/>
  </xdr:twoCellAnchor>
  <xdr:twoCellAnchor>
    <xdr:from>
      <xdr:col>6</xdr:col>
      <xdr:colOff>180975</xdr:colOff>
      <xdr:row>2</xdr:row>
      <xdr:rowOff>76200</xdr:rowOff>
    </xdr:from>
    <xdr:to>
      <xdr:col>7</xdr:col>
      <xdr:colOff>1781175</xdr:colOff>
      <xdr:row>8</xdr:row>
      <xdr:rowOff>342900</xdr:rowOff>
    </xdr:to>
    <xdr:sp macro="" textlink="">
      <xdr:nvSpPr>
        <xdr:cNvPr id="17" name="ZoneTexte 16"/>
        <xdr:cNvSpPr txBox="1"/>
      </xdr:nvSpPr>
      <xdr:spPr>
        <a:xfrm>
          <a:off x="7572375" y="933450"/>
          <a:ext cx="2828925" cy="1876425"/>
        </a:xfrm>
        <a:prstGeom prst="rect">
          <a:avLst/>
        </a:prstGeom>
        <a:solidFill>
          <a:srgbClr val="CC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400" b="1" u="sng">
              <a:solidFill>
                <a:srgbClr val="7030A0"/>
              </a:solidFill>
              <a:latin typeface="Arial" panose="020B0604020202020204" pitchFamily="34" charset="0"/>
              <a:cs typeface="Arial" panose="020B0604020202020204" pitchFamily="34" charset="0"/>
            </a:rPr>
            <a:t>Valeurs de ADC</a:t>
          </a:r>
        </a:p>
        <a:p>
          <a:pPr algn="ctr"/>
          <a:endParaRPr lang="fr-FR" sz="1100">
            <a:latin typeface="Arial" panose="020B0604020202020204" pitchFamily="34" charset="0"/>
            <a:cs typeface="Arial" panose="020B0604020202020204" pitchFamily="34" charset="0"/>
          </a:endParaRPr>
        </a:p>
        <a:p>
          <a:pPr algn="ctr"/>
          <a:r>
            <a:rPr lang="fr-FR" sz="1600" b="1">
              <a:solidFill>
                <a:schemeClr val="dk1"/>
              </a:solidFill>
              <a:effectLst/>
              <a:latin typeface="Arial" panose="020B0604020202020204" pitchFamily="34" charset="0"/>
              <a:ea typeface="+mn-ea"/>
              <a:cs typeface="Arial" panose="020B0604020202020204" pitchFamily="34" charset="0"/>
            </a:rPr>
            <a:t>Mode</a:t>
          </a:r>
          <a:r>
            <a:rPr lang="fr-FR" sz="1600" b="1" baseline="0">
              <a:solidFill>
                <a:schemeClr val="dk1"/>
              </a:solidFill>
              <a:effectLst/>
              <a:latin typeface="Arial" panose="020B0604020202020204" pitchFamily="34" charset="0"/>
              <a:ea typeface="+mn-ea"/>
              <a:cs typeface="Arial" panose="020B0604020202020204" pitchFamily="34" charset="0"/>
            </a:rPr>
            <a:t> "Normal GND":</a:t>
          </a:r>
          <a:endParaRPr lang="fr-FR" sz="1600">
            <a:effectLst/>
            <a:latin typeface="Arial" panose="020B0604020202020204" pitchFamily="34" charset="0"/>
            <a:cs typeface="Arial" panose="020B0604020202020204" pitchFamily="34" charset="0"/>
          </a:endParaRPr>
        </a:p>
        <a:p>
          <a:pPr algn="ctr"/>
          <a:r>
            <a:rPr lang="fr-FR" sz="1600" baseline="0">
              <a:solidFill>
                <a:schemeClr val="dk1"/>
              </a:solidFill>
              <a:effectLst/>
              <a:latin typeface="Arial" panose="020B0604020202020204" pitchFamily="34" charset="0"/>
              <a:ea typeface="+mn-ea"/>
              <a:cs typeface="Arial" panose="020B0604020202020204" pitchFamily="34" charset="0"/>
            </a:rPr>
            <a:t>  de 0 à 32767 </a:t>
          </a:r>
          <a:r>
            <a:rPr lang="fr-FR" sz="1400" baseline="0">
              <a:solidFill>
                <a:schemeClr val="dk1"/>
              </a:solidFill>
              <a:effectLst/>
              <a:latin typeface="Arial" panose="020B0604020202020204" pitchFamily="34" charset="0"/>
              <a:ea typeface="+mn-ea"/>
              <a:cs typeface="Arial" panose="020B0604020202020204" pitchFamily="34" charset="0"/>
            </a:rPr>
            <a:t>(15 bits)</a:t>
          </a:r>
          <a:endParaRPr lang="fr-FR" sz="1400">
            <a:effectLst/>
            <a:latin typeface="Arial" panose="020B0604020202020204" pitchFamily="34" charset="0"/>
            <a:cs typeface="Arial" panose="020B0604020202020204" pitchFamily="34" charset="0"/>
          </a:endParaRPr>
        </a:p>
        <a:p>
          <a:pPr algn="ctr"/>
          <a:endParaRPr lang="fr-FR" sz="1600" b="1">
            <a:latin typeface="Arial" panose="020B0604020202020204" pitchFamily="34" charset="0"/>
            <a:cs typeface="Arial" panose="020B0604020202020204" pitchFamily="34" charset="0"/>
          </a:endParaRPr>
        </a:p>
        <a:p>
          <a:pPr algn="ctr"/>
          <a:r>
            <a:rPr lang="fr-FR" sz="1600" b="1">
              <a:latin typeface="Arial" panose="020B0604020202020204" pitchFamily="34" charset="0"/>
              <a:cs typeface="Arial" panose="020B0604020202020204" pitchFamily="34" charset="0"/>
            </a:rPr>
            <a:t>Mode Différentiel:</a:t>
          </a:r>
        </a:p>
        <a:p>
          <a:pPr algn="ctr"/>
          <a:r>
            <a:rPr lang="fr-FR" sz="1600">
              <a:latin typeface="Arial" panose="020B0604020202020204" pitchFamily="34" charset="0"/>
              <a:cs typeface="Arial" panose="020B0604020202020204" pitchFamily="34" charset="0"/>
            </a:rPr>
            <a:t>de 0 à 65535 </a:t>
          </a:r>
          <a:r>
            <a:rPr lang="fr-FR" sz="1400">
              <a:latin typeface="Arial" panose="020B0604020202020204" pitchFamily="34" charset="0"/>
              <a:cs typeface="Arial" panose="020B0604020202020204" pitchFamily="34" charset="0"/>
            </a:rPr>
            <a:t>(16 bits)</a:t>
          </a:r>
        </a:p>
        <a:p>
          <a:pPr algn="ctr"/>
          <a:endParaRPr lang="fr-FR" sz="1600">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514350</xdr:colOff>
      <xdr:row>1</xdr:row>
      <xdr:rowOff>47625</xdr:rowOff>
    </xdr:from>
    <xdr:to>
      <xdr:col>1</xdr:col>
      <xdr:colOff>355219</xdr:colOff>
      <xdr:row>1</xdr:row>
      <xdr:rowOff>476250</xdr:rowOff>
    </xdr:to>
    <xdr:pic>
      <xdr:nvPicPr>
        <xdr:cNvPr id="5" name="Imag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4350" y="228600"/>
          <a:ext cx="602869" cy="428625"/>
        </a:xfrm>
        <a:prstGeom prst="rect">
          <a:avLst/>
        </a:prstGeom>
      </xdr:spPr>
    </xdr:pic>
    <xdr:clientData fPrintsWithSheet="0"/>
  </xdr:twoCellAnchor>
  <xdr:twoCellAnchor editAs="oneCell">
    <xdr:from>
      <xdr:col>8</xdr:col>
      <xdr:colOff>57151</xdr:colOff>
      <xdr:row>26</xdr:row>
      <xdr:rowOff>104776</xdr:rowOff>
    </xdr:from>
    <xdr:to>
      <xdr:col>12</xdr:col>
      <xdr:colOff>1209675</xdr:colOff>
      <xdr:row>36</xdr:row>
      <xdr:rowOff>276623</xdr:rowOff>
    </xdr:to>
    <xdr:pic>
      <xdr:nvPicPr>
        <xdr:cNvPr id="2" name="Image 1"/>
        <xdr:cNvPicPr>
          <a:picLocks noChangeAspect="1"/>
        </xdr:cNvPicPr>
      </xdr:nvPicPr>
      <xdr:blipFill>
        <a:blip xmlns:r="http://schemas.openxmlformats.org/officeDocument/2006/relationships" r:embed="rId2"/>
        <a:stretch>
          <a:fillRect/>
        </a:stretch>
      </xdr:blipFill>
      <xdr:spPr>
        <a:xfrm>
          <a:off x="10029826" y="7486651"/>
          <a:ext cx="4476749" cy="2753122"/>
        </a:xfrm>
        <a:prstGeom prst="rect">
          <a:avLst/>
        </a:prstGeom>
        <a:ln w="28575">
          <a:solidFill>
            <a:srgbClr val="FF3399"/>
          </a:solidFill>
        </a:ln>
      </xdr:spPr>
    </xdr:pic>
    <xdr:clientData/>
  </xdr:twoCellAnchor>
  <xdr:twoCellAnchor>
    <xdr:from>
      <xdr:col>8</xdr:col>
      <xdr:colOff>552450</xdr:colOff>
      <xdr:row>3</xdr:row>
      <xdr:rowOff>0</xdr:rowOff>
    </xdr:from>
    <xdr:to>
      <xdr:col>9</xdr:col>
      <xdr:colOff>466725</xdr:colOff>
      <xdr:row>3</xdr:row>
      <xdr:rowOff>228600</xdr:rowOff>
    </xdr:to>
    <xdr:sp macro="" textlink="">
      <xdr:nvSpPr>
        <xdr:cNvPr id="6" name="ZoneTexte 5"/>
        <xdr:cNvSpPr txBox="1"/>
      </xdr:nvSpPr>
      <xdr:spPr>
        <a:xfrm>
          <a:off x="11068050" y="1476375"/>
          <a:ext cx="74295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rgbClr val="C00000"/>
              </a:solidFill>
              <a:latin typeface="Arial" panose="020B0604020202020204" pitchFamily="34" charset="0"/>
              <a:cs typeface="Arial" panose="020B0604020202020204" pitchFamily="34" charset="0"/>
            </a:rPr>
            <a:t>x 256=</a:t>
          </a:r>
        </a:p>
      </xdr:txBody>
    </xdr:sp>
    <xdr:clientData/>
  </xdr:twoCellAnchor>
  <xdr:twoCellAnchor>
    <xdr:from>
      <xdr:col>4</xdr:col>
      <xdr:colOff>1724025</xdr:colOff>
      <xdr:row>7</xdr:row>
      <xdr:rowOff>114299</xdr:rowOff>
    </xdr:from>
    <xdr:to>
      <xdr:col>6</xdr:col>
      <xdr:colOff>1962150</xdr:colOff>
      <xdr:row>16</xdr:row>
      <xdr:rowOff>85725</xdr:rowOff>
    </xdr:to>
    <xdr:sp macro="" textlink="">
      <xdr:nvSpPr>
        <xdr:cNvPr id="7" name="Rectangle à coins arrondis 6"/>
        <xdr:cNvSpPr/>
      </xdr:nvSpPr>
      <xdr:spPr>
        <a:xfrm>
          <a:off x="4991100" y="2276474"/>
          <a:ext cx="3733800" cy="2724151"/>
        </a:xfrm>
        <a:prstGeom prst="roundRect">
          <a:avLst>
            <a:gd name="adj" fmla="val 2126"/>
          </a:avLst>
        </a:prstGeom>
        <a:noFill/>
        <a:ln w="69850">
          <a:solidFill>
            <a:srgbClr val="3399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180975</xdr:colOff>
      <xdr:row>6</xdr:row>
      <xdr:rowOff>419100</xdr:rowOff>
    </xdr:from>
    <xdr:to>
      <xdr:col>2</xdr:col>
      <xdr:colOff>533399</xdr:colOff>
      <xdr:row>10</xdr:row>
      <xdr:rowOff>0</xdr:rowOff>
    </xdr:to>
    <xdr:sp macro="" textlink="">
      <xdr:nvSpPr>
        <xdr:cNvPr id="3" name="Flèche droite 2"/>
        <xdr:cNvSpPr/>
      </xdr:nvSpPr>
      <xdr:spPr>
        <a:xfrm>
          <a:off x="180975" y="2114550"/>
          <a:ext cx="1962149" cy="1057275"/>
        </a:xfrm>
        <a:prstGeom prst="rightArrow">
          <a:avLst>
            <a:gd name="adj1" fmla="val 50000"/>
            <a:gd name="adj2" fmla="val 72031"/>
          </a:avLst>
        </a:prstGeom>
        <a:solidFill>
          <a:srgbClr val="92D050"/>
        </a:solidFill>
        <a:effectLst>
          <a:outerShdw blurRad="50800" dist="1016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fr-FR" sz="2000" b="1">
              <a:solidFill>
                <a:srgbClr val="C00000"/>
              </a:solidFill>
              <a:latin typeface="Arial" panose="020B0604020202020204" pitchFamily="34" charset="0"/>
              <a:cs typeface="Arial" panose="020B0604020202020204" pitchFamily="34" charset="0"/>
            </a:rPr>
            <a:t>Précision:</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695325</xdr:colOff>
      <xdr:row>4</xdr:row>
      <xdr:rowOff>66675</xdr:rowOff>
    </xdr:from>
    <xdr:to>
      <xdr:col>25</xdr:col>
      <xdr:colOff>66675</xdr:colOff>
      <xdr:row>36</xdr:row>
      <xdr:rowOff>161925</xdr:rowOff>
    </xdr:to>
    <xdr:pic>
      <xdr:nvPicPr>
        <xdr:cNvPr id="2" name="Image 1" descr="http://electromag1.wifeo.com/images/m/mem/memoire-M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68575" y="1314450"/>
          <a:ext cx="5467350" cy="669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400050</xdr:colOff>
      <xdr:row>1</xdr:row>
      <xdr:rowOff>0</xdr:rowOff>
    </xdr:from>
    <xdr:to>
      <xdr:col>9</xdr:col>
      <xdr:colOff>627698</xdr:colOff>
      <xdr:row>2</xdr:row>
      <xdr:rowOff>135463</xdr:rowOff>
    </xdr:to>
    <xdr:pic>
      <xdr:nvPicPr>
        <xdr:cNvPr id="3" name="Image 2"/>
        <xdr:cNvPicPr>
          <a:picLocks noChangeAspect="1"/>
        </xdr:cNvPicPr>
      </xdr:nvPicPr>
      <xdr:blipFill>
        <a:blip xmlns:r="http://schemas.openxmlformats.org/officeDocument/2006/relationships" r:embed="rId2"/>
        <a:stretch>
          <a:fillRect/>
        </a:stretch>
      </xdr:blipFill>
      <xdr:spPr>
        <a:xfrm>
          <a:off x="6591300" y="190500"/>
          <a:ext cx="2513648" cy="706963"/>
        </a:xfrm>
        <a:prstGeom prst="rect">
          <a:avLst/>
        </a:prstGeom>
      </xdr:spPr>
    </xdr:pic>
    <xdr:clientData/>
  </xdr:twoCellAnchor>
  <xdr:twoCellAnchor>
    <xdr:from>
      <xdr:col>2</xdr:col>
      <xdr:colOff>847725</xdr:colOff>
      <xdr:row>51</xdr:row>
      <xdr:rowOff>0</xdr:rowOff>
    </xdr:from>
    <xdr:to>
      <xdr:col>6</xdr:col>
      <xdr:colOff>409575</xdr:colOff>
      <xdr:row>53</xdr:row>
      <xdr:rowOff>47625</xdr:rowOff>
    </xdr:to>
    <xdr:sp macro="" textlink="">
      <xdr:nvSpPr>
        <xdr:cNvPr id="4" name="ZoneTexte 3"/>
        <xdr:cNvSpPr txBox="1"/>
      </xdr:nvSpPr>
      <xdr:spPr>
        <a:xfrm>
          <a:off x="2371725" y="11391900"/>
          <a:ext cx="4229100"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4000" b="1">
              <a:solidFill>
                <a:srgbClr val="FF0000"/>
              </a:solidFill>
            </a:rPr>
            <a:t>* ?</a:t>
          </a:r>
          <a:r>
            <a:rPr lang="fr-FR" sz="1200" b="0">
              <a:solidFill>
                <a:srgbClr val="C00000"/>
              </a:solidFill>
              <a:latin typeface="Arial" panose="020B0604020202020204" pitchFamily="34" charset="0"/>
              <a:cs typeface="Arial" panose="020B0604020202020204" pitchFamily="34" charset="0"/>
            </a:rPr>
            <a:t>Semble facultatif malgré les infos du Data Sheet !??</a:t>
          </a:r>
          <a:endParaRPr lang="fr-FR" sz="4000" b="0">
            <a:solidFill>
              <a:srgbClr val="C00000"/>
            </a:solidFill>
            <a:latin typeface="Arial" panose="020B0604020202020204" pitchFamily="34" charset="0"/>
            <a:cs typeface="Arial" panose="020B0604020202020204" pitchFamily="34" charset="0"/>
          </a:endParaRPr>
        </a:p>
      </xdr:txBody>
    </xdr:sp>
    <xdr:clientData/>
  </xdr:twoCellAnchor>
  <xdr:oneCellAnchor>
    <xdr:from>
      <xdr:col>0</xdr:col>
      <xdr:colOff>561975</xdr:colOff>
      <xdr:row>1</xdr:row>
      <xdr:rowOff>66675</xdr:rowOff>
    </xdr:from>
    <xdr:ext cx="602869" cy="447675"/>
    <xdr:pic>
      <xdr:nvPicPr>
        <xdr:cNvPr id="6" name="Imag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1975" y="257175"/>
          <a:ext cx="602869" cy="447675"/>
        </a:xfrm>
        <a:prstGeom prst="rect">
          <a:avLst/>
        </a:prstGeom>
      </xdr:spPr>
    </xdr:pic>
    <xdr:clientData fPrintsWithSheet="0"/>
  </xdr:oneCellAnchor>
</xdr:wsDr>
</file>

<file path=xl/drawings/drawing7.xml><?xml version="1.0" encoding="utf-8"?>
<xdr:wsDr xmlns:xdr="http://schemas.openxmlformats.org/drawingml/2006/spreadsheetDrawing" xmlns:a="http://schemas.openxmlformats.org/drawingml/2006/main">
  <xdr:twoCellAnchor>
    <xdr:from>
      <xdr:col>5</xdr:col>
      <xdr:colOff>104776</xdr:colOff>
      <xdr:row>18</xdr:row>
      <xdr:rowOff>1</xdr:rowOff>
    </xdr:from>
    <xdr:to>
      <xdr:col>7</xdr:col>
      <xdr:colOff>66675</xdr:colOff>
      <xdr:row>18</xdr:row>
      <xdr:rowOff>209551</xdr:rowOff>
    </xdr:to>
    <xdr:sp macro="" textlink="">
      <xdr:nvSpPr>
        <xdr:cNvPr id="3" name="ZoneTexte 2"/>
        <xdr:cNvSpPr txBox="1"/>
      </xdr:nvSpPr>
      <xdr:spPr>
        <a:xfrm>
          <a:off x="4857751" y="5276851"/>
          <a:ext cx="800099"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rgbClr val="C00000"/>
              </a:solidFill>
              <a:latin typeface="Arial" panose="020B0604020202020204" pitchFamily="34" charset="0"/>
              <a:cs typeface="Arial" panose="020B0604020202020204" pitchFamily="34" charset="0"/>
            </a:rPr>
            <a:t>x 256=</a:t>
          </a:r>
        </a:p>
      </xdr:txBody>
    </xdr:sp>
    <xdr:clientData/>
  </xdr:twoCellAnchor>
  <xdr:twoCellAnchor>
    <xdr:from>
      <xdr:col>6</xdr:col>
      <xdr:colOff>0</xdr:colOff>
      <xdr:row>1</xdr:row>
      <xdr:rowOff>123825</xdr:rowOff>
    </xdr:from>
    <xdr:to>
      <xdr:col>107</xdr:col>
      <xdr:colOff>314324</xdr:colOff>
      <xdr:row>13</xdr:row>
      <xdr:rowOff>152400</xdr:rowOff>
    </xdr:to>
    <xdr:sp macro="" textlink="">
      <xdr:nvSpPr>
        <xdr:cNvPr id="6" name="Rectangle 5"/>
        <xdr:cNvSpPr/>
      </xdr:nvSpPr>
      <xdr:spPr>
        <a:xfrm>
          <a:off x="4857750" y="304800"/>
          <a:ext cx="91239974" cy="5314950"/>
        </a:xfrm>
        <a:prstGeom prst="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18</xdr:col>
      <xdr:colOff>647700</xdr:colOff>
      <xdr:row>14</xdr:row>
      <xdr:rowOff>304799</xdr:rowOff>
    </xdr:from>
    <xdr:to>
      <xdr:col>34</xdr:col>
      <xdr:colOff>666750</xdr:colOff>
      <xdr:row>38</xdr:row>
      <xdr:rowOff>371475</xdr:rowOff>
    </xdr:to>
    <xdr:graphicFrame macro="">
      <xdr:nvGraphicFramePr>
        <xdr:cNvPr id="8" name="Graphique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828674</xdr:colOff>
      <xdr:row>14</xdr:row>
      <xdr:rowOff>1085850</xdr:rowOff>
    </xdr:from>
    <xdr:to>
      <xdr:col>50</xdr:col>
      <xdr:colOff>809625</xdr:colOff>
      <xdr:row>38</xdr:row>
      <xdr:rowOff>342900</xdr:rowOff>
    </xdr:to>
    <xdr:graphicFrame macro="">
      <xdr:nvGraphicFramePr>
        <xdr:cNvPr id="22" name="Graphique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536575</xdr:colOff>
      <xdr:row>17</xdr:row>
      <xdr:rowOff>174625</xdr:rowOff>
    </xdr:from>
    <xdr:to>
      <xdr:col>20</xdr:col>
      <xdr:colOff>850900</xdr:colOff>
      <xdr:row>21</xdr:row>
      <xdr:rowOff>114300</xdr:rowOff>
    </xdr:to>
    <xdr:sp macro="" textlink="">
      <xdr:nvSpPr>
        <xdr:cNvPr id="24" name="ZoneTexte 23"/>
        <xdr:cNvSpPr txBox="1"/>
      </xdr:nvSpPr>
      <xdr:spPr>
        <a:xfrm>
          <a:off x="18380075" y="4543425"/>
          <a:ext cx="1216025" cy="124777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X = ADC</a:t>
          </a:r>
        </a:p>
        <a:p>
          <a:pPr algn="ctr"/>
          <a:r>
            <a:rPr lang="fr-FR" sz="2000" b="1"/>
            <a:t>Y = °C</a:t>
          </a:r>
        </a:p>
      </xdr:txBody>
    </xdr:sp>
    <xdr:clientData/>
  </xdr:twoCellAnchor>
  <xdr:twoCellAnchor editAs="oneCell">
    <xdr:from>
      <xdr:col>9</xdr:col>
      <xdr:colOff>1133475</xdr:colOff>
      <xdr:row>36</xdr:row>
      <xdr:rowOff>190500</xdr:rowOff>
    </xdr:from>
    <xdr:to>
      <xdr:col>11</xdr:col>
      <xdr:colOff>161752</xdr:colOff>
      <xdr:row>37</xdr:row>
      <xdr:rowOff>19001</xdr:rowOff>
    </xdr:to>
    <xdr:pic>
      <xdr:nvPicPr>
        <xdr:cNvPr id="25" name="Image 24"/>
        <xdr:cNvPicPr>
          <a:picLocks noChangeAspect="1"/>
        </xdr:cNvPicPr>
      </xdr:nvPicPr>
      <xdr:blipFill>
        <a:blip xmlns:r="http://schemas.openxmlformats.org/officeDocument/2006/relationships" r:embed="rId3"/>
        <a:stretch>
          <a:fillRect/>
        </a:stretch>
      </xdr:blipFill>
      <xdr:spPr>
        <a:xfrm>
          <a:off x="8810625" y="10134600"/>
          <a:ext cx="1380952" cy="390476"/>
        </a:xfrm>
        <a:prstGeom prst="rect">
          <a:avLst/>
        </a:prstGeom>
      </xdr:spPr>
    </xdr:pic>
    <xdr:clientData/>
  </xdr:twoCellAnchor>
  <xdr:twoCellAnchor editAs="oneCell">
    <xdr:from>
      <xdr:col>9</xdr:col>
      <xdr:colOff>762000</xdr:colOff>
      <xdr:row>54</xdr:row>
      <xdr:rowOff>85725</xdr:rowOff>
    </xdr:from>
    <xdr:to>
      <xdr:col>10</xdr:col>
      <xdr:colOff>152400</xdr:colOff>
      <xdr:row>56</xdr:row>
      <xdr:rowOff>28273</xdr:rowOff>
    </xdr:to>
    <xdr:pic>
      <xdr:nvPicPr>
        <xdr:cNvPr id="27" name="Image 26"/>
        <xdr:cNvPicPr>
          <a:picLocks noChangeAspect="1"/>
        </xdr:cNvPicPr>
      </xdr:nvPicPr>
      <xdr:blipFill>
        <a:blip xmlns:r="http://schemas.openxmlformats.org/officeDocument/2006/relationships" r:embed="rId4"/>
        <a:stretch>
          <a:fillRect/>
        </a:stretch>
      </xdr:blipFill>
      <xdr:spPr>
        <a:xfrm>
          <a:off x="8439150" y="14420850"/>
          <a:ext cx="542925" cy="533098"/>
        </a:xfrm>
        <a:prstGeom prst="rect">
          <a:avLst/>
        </a:prstGeom>
      </xdr:spPr>
    </xdr:pic>
    <xdr:clientData/>
  </xdr:twoCellAnchor>
  <xdr:twoCellAnchor editAs="oneCell">
    <xdr:from>
      <xdr:col>6</xdr:col>
      <xdr:colOff>133350</xdr:colOff>
      <xdr:row>5</xdr:row>
      <xdr:rowOff>219075</xdr:rowOff>
    </xdr:from>
    <xdr:to>
      <xdr:col>6</xdr:col>
      <xdr:colOff>457200</xdr:colOff>
      <xdr:row>10</xdr:row>
      <xdr:rowOff>179913</xdr:rowOff>
    </xdr:to>
    <xdr:pic>
      <xdr:nvPicPr>
        <xdr:cNvPr id="2" name="Image 1"/>
        <xdr:cNvPicPr>
          <a:picLocks noChangeAspect="1"/>
        </xdr:cNvPicPr>
      </xdr:nvPicPr>
      <xdr:blipFill>
        <a:blip xmlns:r="http://schemas.openxmlformats.org/officeDocument/2006/relationships" r:embed="rId5"/>
        <a:stretch>
          <a:fillRect/>
        </a:stretch>
      </xdr:blipFill>
      <xdr:spPr>
        <a:xfrm>
          <a:off x="4991100" y="1400175"/>
          <a:ext cx="323850" cy="1418163"/>
        </a:xfrm>
        <a:prstGeom prst="rect">
          <a:avLst/>
        </a:prstGeom>
      </xdr:spPr>
    </xdr:pic>
    <xdr:clientData/>
  </xdr:twoCellAnchor>
  <xdr:twoCellAnchor editAs="oneCell">
    <xdr:from>
      <xdr:col>1</xdr:col>
      <xdr:colOff>914399</xdr:colOff>
      <xdr:row>36</xdr:row>
      <xdr:rowOff>114300</xdr:rowOff>
    </xdr:from>
    <xdr:to>
      <xdr:col>4</xdr:col>
      <xdr:colOff>7394</xdr:colOff>
      <xdr:row>38</xdr:row>
      <xdr:rowOff>133350</xdr:rowOff>
    </xdr:to>
    <xdr:pic>
      <xdr:nvPicPr>
        <xdr:cNvPr id="9" name="Image 8"/>
        <xdr:cNvPicPr>
          <a:picLocks noChangeAspect="1"/>
        </xdr:cNvPicPr>
      </xdr:nvPicPr>
      <xdr:blipFill>
        <a:blip xmlns:r="http://schemas.openxmlformats.org/officeDocument/2006/relationships" r:embed="rId6"/>
        <a:stretch>
          <a:fillRect/>
        </a:stretch>
      </xdr:blipFill>
      <xdr:spPr>
        <a:xfrm>
          <a:off x="1438274" y="9105900"/>
          <a:ext cx="1779045" cy="1028700"/>
        </a:xfrm>
        <a:prstGeom prst="rect">
          <a:avLst/>
        </a:prstGeom>
      </xdr:spPr>
    </xdr:pic>
    <xdr:clientData/>
  </xdr:twoCellAnchor>
  <xdr:twoCellAnchor editAs="oneCell">
    <xdr:from>
      <xdr:col>12</xdr:col>
      <xdr:colOff>19049</xdr:colOff>
      <xdr:row>15</xdr:row>
      <xdr:rowOff>58530</xdr:rowOff>
    </xdr:from>
    <xdr:to>
      <xdr:col>18</xdr:col>
      <xdr:colOff>499956</xdr:colOff>
      <xdr:row>47</xdr:row>
      <xdr:rowOff>38100</xdr:rowOff>
    </xdr:to>
    <xdr:pic>
      <xdr:nvPicPr>
        <xdr:cNvPr id="10" name="Image 9"/>
        <xdr:cNvPicPr>
          <a:picLocks noChangeAspect="1"/>
        </xdr:cNvPicPr>
      </xdr:nvPicPr>
      <xdr:blipFill>
        <a:blip xmlns:r="http://schemas.openxmlformats.org/officeDocument/2006/relationships" r:embed="rId7"/>
        <a:stretch>
          <a:fillRect/>
        </a:stretch>
      </xdr:blipFill>
      <xdr:spPr>
        <a:xfrm>
          <a:off x="11229974" y="4049505"/>
          <a:ext cx="6214957" cy="8552070"/>
        </a:xfrm>
        <a:prstGeom prst="rect">
          <a:avLst/>
        </a:prstGeom>
        <a:solidFill>
          <a:srgbClr val="FFFFCC"/>
        </a:solidFill>
        <a:ln w="31750">
          <a:solidFill>
            <a:srgbClr val="00B050"/>
          </a:solidFill>
        </a:ln>
      </xdr:spPr>
    </xdr:pic>
    <xdr:clientData/>
  </xdr:twoCellAnchor>
  <xdr:twoCellAnchor>
    <xdr:from>
      <xdr:col>36</xdr:col>
      <xdr:colOff>422275</xdr:colOff>
      <xdr:row>18</xdr:row>
      <xdr:rowOff>212727</xdr:rowOff>
    </xdr:from>
    <xdr:to>
      <xdr:col>38</xdr:col>
      <xdr:colOff>139700</xdr:colOff>
      <xdr:row>21</xdr:row>
      <xdr:rowOff>292101</xdr:rowOff>
    </xdr:to>
    <xdr:sp macro="" textlink="">
      <xdr:nvSpPr>
        <xdr:cNvPr id="23" name="ZoneTexte 22"/>
        <xdr:cNvSpPr txBox="1"/>
      </xdr:nvSpPr>
      <xdr:spPr>
        <a:xfrm>
          <a:off x="33632775" y="4759327"/>
          <a:ext cx="1520825" cy="12096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X = ADC</a:t>
          </a:r>
        </a:p>
        <a:p>
          <a:pPr algn="ctr"/>
          <a:r>
            <a:rPr lang="fr-FR" sz="2000" b="1"/>
            <a:t>Y = mV</a:t>
          </a:r>
        </a:p>
      </xdr:txBody>
    </xdr:sp>
    <xdr:clientData/>
  </xdr:twoCellAnchor>
  <xdr:oneCellAnchor>
    <xdr:from>
      <xdr:col>6</xdr:col>
      <xdr:colOff>304800</xdr:colOff>
      <xdr:row>29</xdr:row>
      <xdr:rowOff>85726</xdr:rowOff>
    </xdr:from>
    <xdr:ext cx="542925" cy="533098"/>
    <xdr:pic>
      <xdr:nvPicPr>
        <xdr:cNvPr id="14" name="Image 13"/>
        <xdr:cNvPicPr>
          <a:picLocks noChangeAspect="1"/>
        </xdr:cNvPicPr>
      </xdr:nvPicPr>
      <xdr:blipFill>
        <a:blip xmlns:r="http://schemas.openxmlformats.org/officeDocument/2006/relationships" r:embed="rId4"/>
        <a:stretch>
          <a:fillRect/>
        </a:stretch>
      </xdr:blipFill>
      <xdr:spPr>
        <a:xfrm>
          <a:off x="5353050" y="7743826"/>
          <a:ext cx="542925" cy="533098"/>
        </a:xfrm>
        <a:prstGeom prst="rect">
          <a:avLst/>
        </a:prstGeom>
      </xdr:spPr>
    </xdr:pic>
    <xdr:clientData/>
  </xdr:oneCellAnchor>
  <xdr:twoCellAnchor>
    <xdr:from>
      <xdr:col>9</xdr:col>
      <xdr:colOff>1038225</xdr:colOff>
      <xdr:row>37</xdr:row>
      <xdr:rowOff>28575</xdr:rowOff>
    </xdr:from>
    <xdr:to>
      <xdr:col>11</xdr:col>
      <xdr:colOff>285750</xdr:colOff>
      <xdr:row>51</xdr:row>
      <xdr:rowOff>85725</xdr:rowOff>
    </xdr:to>
    <xdr:sp macro="" textlink="">
      <xdr:nvSpPr>
        <xdr:cNvPr id="7" name="Rectangle à coins arrondis 6"/>
        <xdr:cNvSpPr/>
      </xdr:nvSpPr>
      <xdr:spPr>
        <a:xfrm>
          <a:off x="8715375" y="10534650"/>
          <a:ext cx="1600200" cy="3267075"/>
        </a:xfrm>
        <a:prstGeom prst="roundRect">
          <a:avLst>
            <a:gd name="adj" fmla="val 952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285750</xdr:colOff>
      <xdr:row>1</xdr:row>
      <xdr:rowOff>28575</xdr:rowOff>
    </xdr:from>
    <xdr:to>
      <xdr:col>1</xdr:col>
      <xdr:colOff>364744</xdr:colOff>
      <xdr:row>3</xdr:row>
      <xdr:rowOff>38100</xdr:rowOff>
    </xdr:to>
    <xdr:pic>
      <xdr:nvPicPr>
        <xdr:cNvPr id="15" name="Image 1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0" y="209550"/>
          <a:ext cx="602869" cy="447675"/>
        </a:xfrm>
        <a:prstGeom prst="rect">
          <a:avLst/>
        </a:prstGeom>
      </xdr:spPr>
    </xdr:pic>
    <xdr:clientData fPrintsWithSheet="0"/>
  </xdr:twoCellAnchor>
  <xdr:twoCellAnchor editAs="oneCell">
    <xdr:from>
      <xdr:col>0</xdr:col>
      <xdr:colOff>352426</xdr:colOff>
      <xdr:row>26</xdr:row>
      <xdr:rowOff>19050</xdr:rowOff>
    </xdr:from>
    <xdr:to>
      <xdr:col>4</xdr:col>
      <xdr:colOff>1524001</xdr:colOff>
      <xdr:row>35</xdr:row>
      <xdr:rowOff>194486</xdr:rowOff>
    </xdr:to>
    <xdr:pic>
      <xdr:nvPicPr>
        <xdr:cNvPr id="5" name="Image 4"/>
        <xdr:cNvPicPr>
          <a:picLocks noChangeAspect="1"/>
        </xdr:cNvPicPr>
      </xdr:nvPicPr>
      <xdr:blipFill>
        <a:blip xmlns:r="http://schemas.openxmlformats.org/officeDocument/2006/relationships" r:embed="rId9"/>
        <a:stretch>
          <a:fillRect/>
        </a:stretch>
      </xdr:blipFill>
      <xdr:spPr>
        <a:xfrm>
          <a:off x="352426" y="6477000"/>
          <a:ext cx="4381500" cy="2299511"/>
        </a:xfrm>
        <a:prstGeom prst="rect">
          <a:avLst/>
        </a:prstGeom>
      </xdr:spPr>
    </xdr:pic>
    <xdr:clientData/>
  </xdr:twoCellAnchor>
  <xdr:twoCellAnchor editAs="oneCell">
    <xdr:from>
      <xdr:col>1</xdr:col>
      <xdr:colOff>666750</xdr:colOff>
      <xdr:row>39</xdr:row>
      <xdr:rowOff>76200</xdr:rowOff>
    </xdr:from>
    <xdr:to>
      <xdr:col>3</xdr:col>
      <xdr:colOff>666750</xdr:colOff>
      <xdr:row>51</xdr:row>
      <xdr:rowOff>102427</xdr:rowOff>
    </xdr:to>
    <xdr:pic>
      <xdr:nvPicPr>
        <xdr:cNvPr id="18" name="Image 17"/>
        <xdr:cNvPicPr>
          <a:picLocks noChangeAspect="1"/>
        </xdr:cNvPicPr>
      </xdr:nvPicPr>
      <xdr:blipFill>
        <a:blip xmlns:r="http://schemas.openxmlformats.org/officeDocument/2006/relationships" r:embed="rId10"/>
        <a:stretch>
          <a:fillRect/>
        </a:stretch>
      </xdr:blipFill>
      <xdr:spPr>
        <a:xfrm>
          <a:off x="1190625" y="10525125"/>
          <a:ext cx="1924050" cy="2788477"/>
        </a:xfrm>
        <a:prstGeom prst="rect">
          <a:avLst/>
        </a:prstGeom>
      </xdr:spPr>
    </xdr:pic>
    <xdr:clientData/>
  </xdr:twoCellAnchor>
  <xdr:twoCellAnchor>
    <xdr:from>
      <xdr:col>6</xdr:col>
      <xdr:colOff>428626</xdr:colOff>
      <xdr:row>20</xdr:row>
      <xdr:rowOff>276225</xdr:rowOff>
    </xdr:from>
    <xdr:to>
      <xdr:col>10</xdr:col>
      <xdr:colOff>95251</xdr:colOff>
      <xdr:row>27</xdr:row>
      <xdr:rowOff>114300</xdr:rowOff>
    </xdr:to>
    <xdr:sp macro="" textlink="">
      <xdr:nvSpPr>
        <xdr:cNvPr id="11" name="Rectangle à coins arrondis 10"/>
        <xdr:cNvSpPr/>
      </xdr:nvSpPr>
      <xdr:spPr>
        <a:xfrm>
          <a:off x="5657851" y="5600700"/>
          <a:ext cx="3543300" cy="1543050"/>
        </a:xfrm>
        <a:prstGeom prst="roundRect">
          <a:avLst>
            <a:gd name="adj" fmla="val 8025"/>
          </a:avLst>
        </a:prstGeom>
        <a:noFill/>
        <a:ln w="889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40</xdr:col>
      <xdr:colOff>508000</xdr:colOff>
      <xdr:row>17</xdr:row>
      <xdr:rowOff>114300</xdr:rowOff>
    </xdr:from>
    <xdr:to>
      <xdr:col>42</xdr:col>
      <xdr:colOff>736600</xdr:colOff>
      <xdr:row>19</xdr:row>
      <xdr:rowOff>241300</xdr:rowOff>
    </xdr:to>
    <xdr:sp macro="" textlink="">
      <xdr:nvSpPr>
        <xdr:cNvPr id="4" name="ZoneTexte 3"/>
        <xdr:cNvSpPr txBox="1"/>
      </xdr:nvSpPr>
      <xdr:spPr>
        <a:xfrm>
          <a:off x="37325300" y="4483100"/>
          <a:ext cx="2032000"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600" b="1">
              <a:solidFill>
                <a:srgbClr val="C00000"/>
              </a:solidFill>
            </a:rPr>
            <a:t>TMP37</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1371601</xdr:colOff>
      <xdr:row>17</xdr:row>
      <xdr:rowOff>133351</xdr:rowOff>
    </xdr:from>
    <xdr:to>
      <xdr:col>6</xdr:col>
      <xdr:colOff>342900</xdr:colOff>
      <xdr:row>18</xdr:row>
      <xdr:rowOff>161926</xdr:rowOff>
    </xdr:to>
    <xdr:sp macro="" textlink="">
      <xdr:nvSpPr>
        <xdr:cNvPr id="2" name="ZoneTexte 1"/>
        <xdr:cNvSpPr txBox="1"/>
      </xdr:nvSpPr>
      <xdr:spPr>
        <a:xfrm>
          <a:off x="4400551" y="13858876"/>
          <a:ext cx="800099"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rgbClr val="C00000"/>
              </a:solidFill>
              <a:latin typeface="Arial" panose="020B0604020202020204" pitchFamily="34" charset="0"/>
              <a:cs typeface="Arial" panose="020B0604020202020204" pitchFamily="34" charset="0"/>
            </a:rPr>
            <a:t>x 256=</a:t>
          </a:r>
        </a:p>
      </xdr:txBody>
    </xdr:sp>
    <xdr:clientData/>
  </xdr:twoCellAnchor>
  <xdr:twoCellAnchor editAs="oneCell">
    <xdr:from>
      <xdr:col>9</xdr:col>
      <xdr:colOff>962025</xdr:colOff>
      <xdr:row>87</xdr:row>
      <xdr:rowOff>133350</xdr:rowOff>
    </xdr:from>
    <xdr:to>
      <xdr:col>11</xdr:col>
      <xdr:colOff>9352</xdr:colOff>
      <xdr:row>87</xdr:row>
      <xdr:rowOff>523826</xdr:rowOff>
    </xdr:to>
    <xdr:pic>
      <xdr:nvPicPr>
        <xdr:cNvPr id="10" name="Image 9"/>
        <xdr:cNvPicPr>
          <a:picLocks noChangeAspect="1"/>
        </xdr:cNvPicPr>
      </xdr:nvPicPr>
      <xdr:blipFill>
        <a:blip xmlns:r="http://schemas.openxmlformats.org/officeDocument/2006/relationships" r:embed="rId1"/>
        <a:stretch>
          <a:fillRect/>
        </a:stretch>
      </xdr:blipFill>
      <xdr:spPr>
        <a:xfrm>
          <a:off x="8401050" y="24774525"/>
          <a:ext cx="1380952" cy="390476"/>
        </a:xfrm>
        <a:prstGeom prst="rect">
          <a:avLst/>
        </a:prstGeom>
      </xdr:spPr>
    </xdr:pic>
    <xdr:clientData/>
  </xdr:twoCellAnchor>
  <xdr:twoCellAnchor editAs="oneCell">
    <xdr:from>
      <xdr:col>9</xdr:col>
      <xdr:colOff>438150</xdr:colOff>
      <xdr:row>97</xdr:row>
      <xdr:rowOff>171450</xdr:rowOff>
    </xdr:from>
    <xdr:to>
      <xdr:col>9</xdr:col>
      <xdr:colOff>1155817</xdr:colOff>
      <xdr:row>100</xdr:row>
      <xdr:rowOff>276225</xdr:rowOff>
    </xdr:to>
    <xdr:pic>
      <xdr:nvPicPr>
        <xdr:cNvPr id="12" name="Image 11"/>
        <xdr:cNvPicPr>
          <a:picLocks noChangeAspect="1"/>
        </xdr:cNvPicPr>
      </xdr:nvPicPr>
      <xdr:blipFill>
        <a:blip xmlns:r="http://schemas.openxmlformats.org/officeDocument/2006/relationships" r:embed="rId2"/>
        <a:stretch>
          <a:fillRect/>
        </a:stretch>
      </xdr:blipFill>
      <xdr:spPr>
        <a:xfrm>
          <a:off x="7877175" y="27498675"/>
          <a:ext cx="708142" cy="695325"/>
        </a:xfrm>
        <a:prstGeom prst="rect">
          <a:avLst/>
        </a:prstGeom>
      </xdr:spPr>
    </xdr:pic>
    <xdr:clientData/>
  </xdr:twoCellAnchor>
  <xdr:twoCellAnchor editAs="oneCell">
    <xdr:from>
      <xdr:col>20</xdr:col>
      <xdr:colOff>438150</xdr:colOff>
      <xdr:row>24</xdr:row>
      <xdr:rowOff>2348</xdr:rowOff>
    </xdr:from>
    <xdr:to>
      <xdr:col>22</xdr:col>
      <xdr:colOff>552450</xdr:colOff>
      <xdr:row>35</xdr:row>
      <xdr:rowOff>82550</xdr:rowOff>
    </xdr:to>
    <xdr:pic>
      <xdr:nvPicPr>
        <xdr:cNvPr id="4" name="Image 3"/>
        <xdr:cNvPicPr>
          <a:picLocks noChangeAspect="1"/>
        </xdr:cNvPicPr>
      </xdr:nvPicPr>
      <xdr:blipFill>
        <a:blip xmlns:r="http://schemas.openxmlformats.org/officeDocument/2006/relationships" r:embed="rId3"/>
        <a:stretch>
          <a:fillRect/>
        </a:stretch>
      </xdr:blipFill>
      <xdr:spPr>
        <a:xfrm>
          <a:off x="19535775" y="6736523"/>
          <a:ext cx="1924050" cy="2788477"/>
        </a:xfrm>
        <a:prstGeom prst="rect">
          <a:avLst/>
        </a:prstGeom>
      </xdr:spPr>
    </xdr:pic>
    <xdr:clientData/>
  </xdr:twoCellAnchor>
  <xdr:twoCellAnchor editAs="oneCell">
    <xdr:from>
      <xdr:col>14</xdr:col>
      <xdr:colOff>0</xdr:colOff>
      <xdr:row>68</xdr:row>
      <xdr:rowOff>0</xdr:rowOff>
    </xdr:from>
    <xdr:to>
      <xdr:col>19</xdr:col>
      <xdr:colOff>247041</xdr:colOff>
      <xdr:row>78</xdr:row>
      <xdr:rowOff>85488</xdr:rowOff>
    </xdr:to>
    <xdr:pic>
      <xdr:nvPicPr>
        <xdr:cNvPr id="6" name="Image 5"/>
        <xdr:cNvPicPr>
          <a:picLocks noChangeAspect="1"/>
        </xdr:cNvPicPr>
      </xdr:nvPicPr>
      <xdr:blipFill>
        <a:blip xmlns:r="http://schemas.openxmlformats.org/officeDocument/2006/relationships" r:embed="rId4"/>
        <a:stretch>
          <a:fillRect/>
        </a:stretch>
      </xdr:blipFill>
      <xdr:spPr>
        <a:xfrm>
          <a:off x="12411075" y="16135350"/>
          <a:ext cx="4876191" cy="1895238"/>
        </a:xfrm>
        <a:prstGeom prst="rect">
          <a:avLst/>
        </a:prstGeom>
      </xdr:spPr>
    </xdr:pic>
    <xdr:clientData/>
  </xdr:twoCellAnchor>
  <xdr:twoCellAnchor>
    <xdr:from>
      <xdr:col>5</xdr:col>
      <xdr:colOff>276224</xdr:colOff>
      <xdr:row>1</xdr:row>
      <xdr:rowOff>95250</xdr:rowOff>
    </xdr:from>
    <xdr:to>
      <xdr:col>177</xdr:col>
      <xdr:colOff>761999</xdr:colOff>
      <xdr:row>13</xdr:row>
      <xdr:rowOff>228600</xdr:rowOff>
    </xdr:to>
    <xdr:sp macro="" textlink="">
      <xdr:nvSpPr>
        <xdr:cNvPr id="13" name="Rectangle 12"/>
        <xdr:cNvSpPr/>
      </xdr:nvSpPr>
      <xdr:spPr>
        <a:xfrm>
          <a:off x="4838699" y="276225"/>
          <a:ext cx="123596400" cy="3152775"/>
        </a:xfrm>
        <a:prstGeom prst="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6</xdr:col>
      <xdr:colOff>133350</xdr:colOff>
      <xdr:row>6</xdr:row>
      <xdr:rowOff>9525</xdr:rowOff>
    </xdr:from>
    <xdr:to>
      <xdr:col>6</xdr:col>
      <xdr:colOff>457200</xdr:colOff>
      <xdr:row>10</xdr:row>
      <xdr:rowOff>227538</xdr:rowOff>
    </xdr:to>
    <xdr:pic>
      <xdr:nvPicPr>
        <xdr:cNvPr id="14" name="Image 13"/>
        <xdr:cNvPicPr>
          <a:picLocks noChangeAspect="1"/>
        </xdr:cNvPicPr>
      </xdr:nvPicPr>
      <xdr:blipFill>
        <a:blip xmlns:r="http://schemas.openxmlformats.org/officeDocument/2006/relationships" r:embed="rId5"/>
        <a:stretch>
          <a:fillRect/>
        </a:stretch>
      </xdr:blipFill>
      <xdr:spPr>
        <a:xfrm>
          <a:off x="4991100" y="1381125"/>
          <a:ext cx="323850" cy="1418163"/>
        </a:xfrm>
        <a:prstGeom prst="rect">
          <a:avLst/>
        </a:prstGeom>
      </xdr:spPr>
    </xdr:pic>
    <xdr:clientData/>
  </xdr:twoCellAnchor>
  <xdr:twoCellAnchor editAs="oneCell">
    <xdr:from>
      <xdr:col>16</xdr:col>
      <xdr:colOff>323849</xdr:colOff>
      <xdr:row>53</xdr:row>
      <xdr:rowOff>66675</xdr:rowOff>
    </xdr:from>
    <xdr:to>
      <xdr:col>18</xdr:col>
      <xdr:colOff>293144</xdr:colOff>
      <xdr:row>56</xdr:row>
      <xdr:rowOff>209550</xdr:rowOff>
    </xdr:to>
    <xdr:pic>
      <xdr:nvPicPr>
        <xdr:cNvPr id="15" name="Image 14"/>
        <xdr:cNvPicPr>
          <a:picLocks noChangeAspect="1"/>
        </xdr:cNvPicPr>
      </xdr:nvPicPr>
      <xdr:blipFill>
        <a:blip xmlns:r="http://schemas.openxmlformats.org/officeDocument/2006/relationships" r:embed="rId6"/>
        <a:stretch>
          <a:fillRect/>
        </a:stretch>
      </xdr:blipFill>
      <xdr:spPr>
        <a:xfrm>
          <a:off x="15697199" y="14411325"/>
          <a:ext cx="1779045" cy="1028700"/>
        </a:xfrm>
        <a:prstGeom prst="rect">
          <a:avLst/>
        </a:prstGeom>
      </xdr:spPr>
    </xdr:pic>
    <xdr:clientData/>
  </xdr:twoCellAnchor>
  <xdr:twoCellAnchor>
    <xdr:from>
      <xdr:col>23</xdr:col>
      <xdr:colOff>542925</xdr:colOff>
      <xdr:row>14</xdr:row>
      <xdr:rowOff>90486</xdr:rowOff>
    </xdr:from>
    <xdr:to>
      <xdr:col>34</xdr:col>
      <xdr:colOff>742951</xdr:colOff>
      <xdr:row>37</xdr:row>
      <xdr:rowOff>28575</xdr:rowOff>
    </xdr:to>
    <xdr:graphicFrame macro="">
      <xdr:nvGraphicFramePr>
        <xdr:cNvPr id="16" name="Graphique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561975</xdr:colOff>
      <xdr:row>18</xdr:row>
      <xdr:rowOff>161925</xdr:rowOff>
    </xdr:from>
    <xdr:to>
      <xdr:col>25</xdr:col>
      <xdr:colOff>876300</xdr:colOff>
      <xdr:row>21</xdr:row>
      <xdr:rowOff>219074</xdr:rowOff>
    </xdr:to>
    <xdr:sp macro="" textlink="">
      <xdr:nvSpPr>
        <xdr:cNvPr id="9" name="ZoneTexte 8"/>
        <xdr:cNvSpPr txBox="1"/>
      </xdr:nvSpPr>
      <xdr:spPr>
        <a:xfrm>
          <a:off x="23669625" y="5381625"/>
          <a:ext cx="1219200" cy="110489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X = ADC</a:t>
          </a:r>
        </a:p>
        <a:p>
          <a:pPr algn="ctr"/>
          <a:r>
            <a:rPr lang="fr-FR" sz="2000" b="1"/>
            <a:t>Y = °C</a:t>
          </a:r>
        </a:p>
      </xdr:txBody>
    </xdr:sp>
    <xdr:clientData/>
  </xdr:twoCellAnchor>
  <xdr:twoCellAnchor>
    <xdr:from>
      <xdr:col>35</xdr:col>
      <xdr:colOff>114301</xdr:colOff>
      <xdr:row>14</xdr:row>
      <xdr:rowOff>104777</xdr:rowOff>
    </xdr:from>
    <xdr:to>
      <xdr:col>47</xdr:col>
      <xdr:colOff>476250</xdr:colOff>
      <xdr:row>37</xdr:row>
      <xdr:rowOff>19050</xdr:rowOff>
    </xdr:to>
    <xdr:graphicFrame macro="">
      <xdr:nvGraphicFramePr>
        <xdr:cNvPr id="18" name="Graphique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36</xdr:col>
      <xdr:colOff>228600</xdr:colOff>
      <xdr:row>19</xdr:row>
      <xdr:rowOff>85726</xdr:rowOff>
    </xdr:from>
    <xdr:to>
      <xdr:col>37</xdr:col>
      <xdr:colOff>542925</xdr:colOff>
      <xdr:row>22</xdr:row>
      <xdr:rowOff>142875</xdr:rowOff>
    </xdr:to>
    <xdr:sp macro="" textlink="">
      <xdr:nvSpPr>
        <xdr:cNvPr id="8" name="ZoneTexte 7"/>
        <xdr:cNvSpPr txBox="1"/>
      </xdr:nvSpPr>
      <xdr:spPr>
        <a:xfrm>
          <a:off x="34223325" y="5648326"/>
          <a:ext cx="1219200" cy="1104899"/>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X = ADC</a:t>
          </a:r>
        </a:p>
        <a:p>
          <a:pPr algn="ctr"/>
          <a:r>
            <a:rPr lang="fr-FR" sz="2000" b="1"/>
            <a:t>Y = mV</a:t>
          </a:r>
        </a:p>
      </xdr:txBody>
    </xdr:sp>
    <xdr:clientData/>
  </xdr:twoCellAnchor>
  <xdr:twoCellAnchor editAs="oneCell">
    <xdr:from>
      <xdr:col>9</xdr:col>
      <xdr:colOff>1657350</xdr:colOff>
      <xdr:row>36</xdr:row>
      <xdr:rowOff>38100</xdr:rowOff>
    </xdr:from>
    <xdr:to>
      <xdr:col>11</xdr:col>
      <xdr:colOff>237952</xdr:colOff>
      <xdr:row>36</xdr:row>
      <xdr:rowOff>428576</xdr:rowOff>
    </xdr:to>
    <xdr:pic>
      <xdr:nvPicPr>
        <xdr:cNvPr id="17" name="Image 16"/>
        <xdr:cNvPicPr>
          <a:picLocks noChangeAspect="1"/>
        </xdr:cNvPicPr>
      </xdr:nvPicPr>
      <xdr:blipFill>
        <a:blip xmlns:r="http://schemas.openxmlformats.org/officeDocument/2006/relationships" r:embed="rId1"/>
        <a:stretch>
          <a:fillRect/>
        </a:stretch>
      </xdr:blipFill>
      <xdr:spPr>
        <a:xfrm>
          <a:off x="9401175" y="10239375"/>
          <a:ext cx="1380952" cy="390476"/>
        </a:xfrm>
        <a:prstGeom prst="rect">
          <a:avLst/>
        </a:prstGeom>
      </xdr:spPr>
    </xdr:pic>
    <xdr:clientData/>
  </xdr:twoCellAnchor>
  <xdr:twoCellAnchor>
    <xdr:from>
      <xdr:col>9</xdr:col>
      <xdr:colOff>1562100</xdr:colOff>
      <xdr:row>36</xdr:row>
      <xdr:rowOff>438150</xdr:rowOff>
    </xdr:from>
    <xdr:to>
      <xdr:col>11</xdr:col>
      <xdr:colOff>352425</xdr:colOff>
      <xdr:row>52</xdr:row>
      <xdr:rowOff>161925</xdr:rowOff>
    </xdr:to>
    <xdr:sp macro="" textlink="">
      <xdr:nvSpPr>
        <xdr:cNvPr id="19" name="Rectangle à coins arrondis 18"/>
        <xdr:cNvSpPr/>
      </xdr:nvSpPr>
      <xdr:spPr>
        <a:xfrm>
          <a:off x="9305925" y="10639425"/>
          <a:ext cx="1600200" cy="3714750"/>
        </a:xfrm>
        <a:prstGeom prst="roundRect">
          <a:avLst>
            <a:gd name="adj" fmla="val 952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9</xdr:col>
      <xdr:colOff>514350</xdr:colOff>
      <xdr:row>55</xdr:row>
      <xdr:rowOff>47625</xdr:rowOff>
    </xdr:from>
    <xdr:to>
      <xdr:col>9</xdr:col>
      <xdr:colOff>1057275</xdr:colOff>
      <xdr:row>56</xdr:row>
      <xdr:rowOff>285448</xdr:rowOff>
    </xdr:to>
    <xdr:pic>
      <xdr:nvPicPr>
        <xdr:cNvPr id="20" name="Image 19"/>
        <xdr:cNvPicPr>
          <a:picLocks noChangeAspect="1"/>
        </xdr:cNvPicPr>
      </xdr:nvPicPr>
      <xdr:blipFill>
        <a:blip xmlns:r="http://schemas.openxmlformats.org/officeDocument/2006/relationships" r:embed="rId2"/>
        <a:stretch>
          <a:fillRect/>
        </a:stretch>
      </xdr:blipFill>
      <xdr:spPr>
        <a:xfrm>
          <a:off x="8515350" y="14782800"/>
          <a:ext cx="542925" cy="533098"/>
        </a:xfrm>
        <a:prstGeom prst="rect">
          <a:avLst/>
        </a:prstGeom>
      </xdr:spPr>
    </xdr:pic>
    <xdr:clientData/>
  </xdr:twoCellAnchor>
  <xdr:oneCellAnchor>
    <xdr:from>
      <xdr:col>6</xdr:col>
      <xdr:colOff>419100</xdr:colOff>
      <xdr:row>29</xdr:row>
      <xdr:rowOff>104775</xdr:rowOff>
    </xdr:from>
    <xdr:ext cx="542925" cy="533098"/>
    <xdr:pic>
      <xdr:nvPicPr>
        <xdr:cNvPr id="21" name="Image 20"/>
        <xdr:cNvPicPr>
          <a:picLocks noChangeAspect="1"/>
        </xdr:cNvPicPr>
      </xdr:nvPicPr>
      <xdr:blipFill>
        <a:blip xmlns:r="http://schemas.openxmlformats.org/officeDocument/2006/relationships" r:embed="rId2"/>
        <a:stretch>
          <a:fillRect/>
        </a:stretch>
      </xdr:blipFill>
      <xdr:spPr>
        <a:xfrm>
          <a:off x="5457825" y="8562975"/>
          <a:ext cx="542925" cy="533098"/>
        </a:xfrm>
        <a:prstGeom prst="rect">
          <a:avLst/>
        </a:prstGeom>
      </xdr:spPr>
    </xdr:pic>
    <xdr:clientData/>
  </xdr:oneCellAnchor>
  <xdr:twoCellAnchor editAs="oneCell">
    <xdr:from>
      <xdr:col>14</xdr:col>
      <xdr:colOff>685800</xdr:colOff>
      <xdr:row>39</xdr:row>
      <xdr:rowOff>114299</xdr:rowOff>
    </xdr:from>
    <xdr:to>
      <xdr:col>20</xdr:col>
      <xdr:colOff>723513</xdr:colOff>
      <xdr:row>51</xdr:row>
      <xdr:rowOff>228599</xdr:rowOff>
    </xdr:to>
    <xdr:pic>
      <xdr:nvPicPr>
        <xdr:cNvPr id="22" name="Image 21"/>
        <xdr:cNvPicPr>
          <a:picLocks noChangeAspect="1"/>
        </xdr:cNvPicPr>
      </xdr:nvPicPr>
      <xdr:blipFill>
        <a:blip xmlns:r="http://schemas.openxmlformats.org/officeDocument/2006/relationships" r:embed="rId9"/>
        <a:stretch>
          <a:fillRect/>
        </a:stretch>
      </xdr:blipFill>
      <xdr:spPr>
        <a:xfrm>
          <a:off x="14144625" y="11210924"/>
          <a:ext cx="5571738" cy="2924175"/>
        </a:xfrm>
        <a:prstGeom prst="rect">
          <a:avLst/>
        </a:prstGeom>
      </xdr:spPr>
    </xdr:pic>
    <xdr:clientData/>
  </xdr:twoCellAnchor>
  <xdr:twoCellAnchor editAs="oneCell">
    <xdr:from>
      <xdr:col>0</xdr:col>
      <xdr:colOff>285750</xdr:colOff>
      <xdr:row>1</xdr:row>
      <xdr:rowOff>28575</xdr:rowOff>
    </xdr:from>
    <xdr:to>
      <xdr:col>1</xdr:col>
      <xdr:colOff>364744</xdr:colOff>
      <xdr:row>3</xdr:row>
      <xdr:rowOff>38100</xdr:rowOff>
    </xdr:to>
    <xdr:pic>
      <xdr:nvPicPr>
        <xdr:cNvPr id="23" name="Image 2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209550"/>
          <a:ext cx="602869" cy="447675"/>
        </a:xfrm>
        <a:prstGeom prst="rect">
          <a:avLst/>
        </a:prstGeom>
      </xdr:spPr>
    </xdr:pic>
    <xdr:clientData fPrintsWithSheet="0"/>
  </xdr:twoCellAnchor>
  <xdr:twoCellAnchor>
    <xdr:from>
      <xdr:col>6</xdr:col>
      <xdr:colOff>590549</xdr:colOff>
      <xdr:row>20</xdr:row>
      <xdr:rowOff>276225</xdr:rowOff>
    </xdr:from>
    <xdr:to>
      <xdr:col>10</xdr:col>
      <xdr:colOff>161924</xdr:colOff>
      <xdr:row>27</xdr:row>
      <xdr:rowOff>123825</xdr:rowOff>
    </xdr:to>
    <xdr:sp macro="" textlink="">
      <xdr:nvSpPr>
        <xdr:cNvPr id="24" name="Rectangle à coins arrondis 23"/>
        <xdr:cNvSpPr/>
      </xdr:nvSpPr>
      <xdr:spPr>
        <a:xfrm>
          <a:off x="5734049" y="5762625"/>
          <a:ext cx="3724275" cy="1866900"/>
        </a:xfrm>
        <a:prstGeom prst="roundRect">
          <a:avLst>
            <a:gd name="adj" fmla="val 8025"/>
          </a:avLst>
        </a:prstGeom>
        <a:noFill/>
        <a:ln w="889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628650</xdr:colOff>
      <xdr:row>15</xdr:row>
      <xdr:rowOff>123825</xdr:rowOff>
    </xdr:from>
    <xdr:to>
      <xdr:col>24</xdr:col>
      <xdr:colOff>628652</xdr:colOff>
      <xdr:row>245</xdr:row>
      <xdr:rowOff>9525</xdr:rowOff>
    </xdr:to>
    <xdr:cxnSp macro="">
      <xdr:nvCxnSpPr>
        <xdr:cNvPr id="3" name="Connecteur droit 2"/>
        <xdr:cNvCxnSpPr/>
      </xdr:nvCxnSpPr>
      <xdr:spPr>
        <a:xfrm flipH="1">
          <a:off x="11972925" y="3752850"/>
          <a:ext cx="2" cy="416814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1352550</xdr:colOff>
      <xdr:row>17</xdr:row>
      <xdr:rowOff>157162</xdr:rowOff>
    </xdr:from>
    <xdr:to>
      <xdr:col>21</xdr:col>
      <xdr:colOff>200025</xdr:colOff>
      <xdr:row>35</xdr:row>
      <xdr:rowOff>95250</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114300</xdr:colOff>
      <xdr:row>167</xdr:row>
      <xdr:rowOff>77384</xdr:rowOff>
    </xdr:from>
    <xdr:to>
      <xdr:col>21</xdr:col>
      <xdr:colOff>1028378</xdr:colOff>
      <xdr:row>189</xdr:row>
      <xdr:rowOff>57150</xdr:rowOff>
    </xdr:to>
    <xdr:pic>
      <xdr:nvPicPr>
        <xdr:cNvPr id="14" name="Image 13"/>
        <xdr:cNvPicPr>
          <a:picLocks noChangeAspect="1"/>
        </xdr:cNvPicPr>
      </xdr:nvPicPr>
      <xdr:blipFill>
        <a:blip xmlns:r="http://schemas.openxmlformats.org/officeDocument/2006/relationships" r:embed="rId2"/>
        <a:stretch>
          <a:fillRect/>
        </a:stretch>
      </xdr:blipFill>
      <xdr:spPr>
        <a:xfrm>
          <a:off x="9096375" y="31547984"/>
          <a:ext cx="2657153" cy="3961216"/>
        </a:xfrm>
        <a:prstGeom prst="rect">
          <a:avLst/>
        </a:prstGeom>
      </xdr:spPr>
    </xdr:pic>
    <xdr:clientData/>
  </xdr:twoCellAnchor>
  <xdr:twoCellAnchor>
    <xdr:from>
      <xdr:col>17</xdr:col>
      <xdr:colOff>200025</xdr:colOff>
      <xdr:row>19</xdr:row>
      <xdr:rowOff>95250</xdr:rowOff>
    </xdr:from>
    <xdr:to>
      <xdr:col>20</xdr:col>
      <xdr:colOff>0</xdr:colOff>
      <xdr:row>23</xdr:row>
      <xdr:rowOff>161925</xdr:rowOff>
    </xdr:to>
    <xdr:sp macro="" textlink="">
      <xdr:nvSpPr>
        <xdr:cNvPr id="15" name="ZoneTexte 14"/>
        <xdr:cNvSpPr txBox="1"/>
      </xdr:nvSpPr>
      <xdr:spPr>
        <a:xfrm>
          <a:off x="8686800" y="3819525"/>
          <a:ext cx="1228725" cy="79057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2000" b="1"/>
            <a:t>X = ADC</a:t>
          </a:r>
        </a:p>
        <a:p>
          <a:pPr algn="ctr"/>
          <a:r>
            <a:rPr lang="fr-FR" sz="2000" b="1"/>
            <a:t>Y = -ADC</a:t>
          </a:r>
        </a:p>
      </xdr:txBody>
    </xdr:sp>
    <xdr:clientData/>
  </xdr:twoCellAnchor>
  <xdr:twoCellAnchor>
    <xdr:from>
      <xdr:col>24</xdr:col>
      <xdr:colOff>38100</xdr:colOff>
      <xdr:row>16</xdr:row>
      <xdr:rowOff>47625</xdr:rowOff>
    </xdr:from>
    <xdr:to>
      <xdr:col>24</xdr:col>
      <xdr:colOff>581025</xdr:colOff>
      <xdr:row>16</xdr:row>
      <xdr:rowOff>285750</xdr:rowOff>
    </xdr:to>
    <xdr:sp macro="" textlink="">
      <xdr:nvSpPr>
        <xdr:cNvPr id="2" name="ZoneTexte 1"/>
        <xdr:cNvSpPr txBox="1"/>
      </xdr:nvSpPr>
      <xdr:spPr>
        <a:xfrm>
          <a:off x="15592425" y="4000500"/>
          <a:ext cx="5429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FF0000"/>
              </a:solidFill>
              <a:latin typeface="Arial" panose="020B0604020202020204" pitchFamily="34" charset="0"/>
              <a:cs typeface="Arial" panose="020B0604020202020204" pitchFamily="34" charset="0"/>
            </a:rPr>
            <a:t>MSB</a:t>
          </a:r>
        </a:p>
      </xdr:txBody>
    </xdr:sp>
    <xdr:clientData/>
  </xdr:twoCellAnchor>
  <xdr:twoCellAnchor>
    <xdr:from>
      <xdr:col>24</xdr:col>
      <xdr:colOff>676275</xdr:colOff>
      <xdr:row>16</xdr:row>
      <xdr:rowOff>47625</xdr:rowOff>
    </xdr:from>
    <xdr:to>
      <xdr:col>24</xdr:col>
      <xdr:colOff>1219200</xdr:colOff>
      <xdr:row>16</xdr:row>
      <xdr:rowOff>285750</xdr:rowOff>
    </xdr:to>
    <xdr:sp macro="" textlink="">
      <xdr:nvSpPr>
        <xdr:cNvPr id="7" name="ZoneTexte 6"/>
        <xdr:cNvSpPr txBox="1"/>
      </xdr:nvSpPr>
      <xdr:spPr>
        <a:xfrm>
          <a:off x="15735300" y="3476625"/>
          <a:ext cx="5429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a:solidFill>
                <a:srgbClr val="FF0000"/>
              </a:solidFill>
              <a:latin typeface="Arial" panose="020B0604020202020204" pitchFamily="34" charset="0"/>
              <a:cs typeface="Arial" panose="020B0604020202020204" pitchFamily="34" charset="0"/>
            </a:rPr>
            <a:t>LSB</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developpez.net/forums/d1542153/logiciels/microsoft-office/excel/convertir-decimal-binaire-excel/" TargetMode="External"/><Relationship Id="rId7" Type="http://schemas.openxmlformats.org/officeDocument/2006/relationships/comments" Target="../comments4.xml"/><Relationship Id="rId2" Type="http://schemas.openxmlformats.org/officeDocument/2006/relationships/hyperlink" Target="https://www.developpez.net/forums/d917653/logiciels/microsoft-office/excel/faire-bindec-plus-10-bits/" TargetMode="External"/><Relationship Id="rId1" Type="http://schemas.openxmlformats.org/officeDocument/2006/relationships/hyperlink" Target="https://www.excelforum.com/excel-formulas-and-functions/526353-decimal-to-16-bits-binary-conversion-in-excel.html" TargetMode="External"/><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hyperlink" Target="https://picaxeforum.co.uk/threads/ads1115-quad-ad-converter-blues.28099/" TargetMode="External"/><Relationship Id="rId2" Type="http://schemas.openxmlformats.org/officeDocument/2006/relationships/hyperlink" Target="https://picaxeforum.co.uk/threads/ads1115-quad-ad-converter-blues.28099/" TargetMode="External"/><Relationship Id="rId1" Type="http://schemas.openxmlformats.org/officeDocument/2006/relationships/hyperlink" Target="https://picaxeforum.co.uk/threads/ads1115-a-d-converter-problem.31530/"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e2e.ti.com/support/data-converters/f/73/t/127706"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mypractic.com/lesson-24-connecting-analog-temperature-sensors-to-arduino-lm35-tmp35-tmp36-tmp37-the-working-project-of-the-thermometer/" TargetMode="External"/><Relationship Id="rId1" Type="http://schemas.openxmlformats.org/officeDocument/2006/relationships/hyperlink" Target="https://e2e.ti.com/support/data-converters/f/73/t/127706"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pageSetUpPr fitToPage="1"/>
  </sheetPr>
  <dimension ref="B1:V101"/>
  <sheetViews>
    <sheetView showGridLines="0" zoomScaleNormal="100" workbookViewId="0">
      <selection activeCell="S86" sqref="S86"/>
    </sheetView>
  </sheetViews>
  <sheetFormatPr baseColWidth="10" defaultRowHeight="15"/>
  <cols>
    <col min="1" max="1" width="1.5703125" style="1" customWidth="1"/>
    <col min="2" max="2" width="8.28515625" style="48" bestFit="1" customWidth="1"/>
    <col min="3" max="3" width="22.5703125" style="1" customWidth="1"/>
    <col min="4" max="4" width="11.42578125" style="1"/>
    <col min="5" max="5" width="36.28515625" style="1" bestFit="1" customWidth="1"/>
    <col min="6" max="6" width="29.7109375" style="1" customWidth="1"/>
    <col min="7" max="7" width="17" style="1" customWidth="1"/>
    <col min="8" max="8" width="19.28515625" style="1" customWidth="1"/>
    <col min="9" max="11" width="17" style="1" customWidth="1"/>
    <col min="12" max="12" width="21.5703125" style="1" customWidth="1"/>
    <col min="13" max="13" width="1.85546875" style="1" customWidth="1"/>
    <col min="14" max="16" width="17" style="1" customWidth="1"/>
    <col min="17" max="21" width="21" style="1" customWidth="1"/>
    <col min="22" max="22" width="1.28515625" style="1" customWidth="1"/>
    <col min="23" max="16384" width="11.42578125" style="1"/>
  </cols>
  <sheetData>
    <row r="1" spans="2:21" ht="8.25" customHeight="1"/>
    <row r="2" spans="2:21" ht="60">
      <c r="B2" s="681"/>
      <c r="C2" s="682"/>
      <c r="D2" s="52"/>
      <c r="E2" s="94" t="s">
        <v>144</v>
      </c>
      <c r="F2" s="52"/>
      <c r="G2" s="52"/>
      <c r="H2" s="52"/>
      <c r="I2" s="52"/>
      <c r="J2" s="52"/>
      <c r="K2" s="52"/>
      <c r="L2" s="52"/>
      <c r="M2" s="52"/>
      <c r="N2" s="52"/>
      <c r="O2" s="52"/>
      <c r="P2" s="52"/>
      <c r="Q2" s="52"/>
      <c r="R2" s="52"/>
      <c r="S2" s="52"/>
      <c r="T2" s="52"/>
      <c r="U2" s="52"/>
    </row>
    <row r="3" spans="2:21" ht="15" customHeight="1"/>
    <row r="4" spans="2:21" ht="15" customHeight="1" thickBot="1"/>
    <row r="5" spans="2:21" ht="24.95" customHeight="1" thickTop="1" thickBot="1">
      <c r="C5" s="56" t="s">
        <v>38</v>
      </c>
      <c r="E5" s="4" t="s">
        <v>8</v>
      </c>
      <c r="F5" s="4" t="s">
        <v>9</v>
      </c>
      <c r="G5" s="4" t="s">
        <v>10</v>
      </c>
      <c r="H5" s="4" t="s">
        <v>11</v>
      </c>
      <c r="I5" s="4" t="s">
        <v>12</v>
      </c>
      <c r="J5" s="4" t="s">
        <v>13</v>
      </c>
      <c r="K5" s="4" t="s">
        <v>14</v>
      </c>
      <c r="L5" s="4" t="s">
        <v>15</v>
      </c>
      <c r="M5" s="74"/>
    </row>
    <row r="6" spans="2:21" ht="6" customHeight="1" thickTop="1" thickBot="1"/>
    <row r="7" spans="2:21" ht="21" customHeight="1" thickBot="1">
      <c r="C7" s="10" t="s">
        <v>45</v>
      </c>
      <c r="D7" s="676" t="s">
        <v>33</v>
      </c>
      <c r="E7" s="677">
        <v>0</v>
      </c>
      <c r="F7" s="677">
        <v>0</v>
      </c>
      <c r="G7" s="677">
        <v>0</v>
      </c>
      <c r="H7" s="677">
        <v>0</v>
      </c>
      <c r="I7" s="677">
        <v>0</v>
      </c>
      <c r="J7" s="678">
        <v>0</v>
      </c>
      <c r="K7" s="724" t="s">
        <v>40</v>
      </c>
      <c r="L7" s="725"/>
      <c r="M7" s="61"/>
    </row>
    <row r="8" spans="2:21" ht="22.5" customHeight="1">
      <c r="C8" s="132" t="s">
        <v>192</v>
      </c>
      <c r="E8" s="734" t="s">
        <v>117</v>
      </c>
      <c r="F8" s="735"/>
      <c r="G8" s="735"/>
      <c r="H8" s="735"/>
      <c r="I8" s="735"/>
      <c r="J8" s="736"/>
      <c r="K8" s="726" t="s">
        <v>41</v>
      </c>
      <c r="L8" s="727"/>
      <c r="M8" s="62"/>
    </row>
    <row r="9" spans="2:21" ht="15" customHeight="1">
      <c r="E9" s="737"/>
      <c r="F9" s="738"/>
      <c r="G9" s="738"/>
      <c r="H9" s="738"/>
      <c r="I9" s="738"/>
      <c r="J9" s="739"/>
      <c r="K9" s="728" t="s">
        <v>42</v>
      </c>
      <c r="L9" s="729"/>
      <c r="M9" s="62"/>
    </row>
    <row r="10" spans="2:21" ht="15" customHeight="1">
      <c r="E10" s="737"/>
      <c r="F10" s="738"/>
      <c r="G10" s="738"/>
      <c r="H10" s="738"/>
      <c r="I10" s="738"/>
      <c r="J10" s="739"/>
      <c r="K10" s="730" t="s">
        <v>43</v>
      </c>
      <c r="L10" s="731"/>
      <c r="M10" s="62"/>
    </row>
    <row r="11" spans="2:21" ht="15" customHeight="1" thickBot="1">
      <c r="E11" s="740"/>
      <c r="F11" s="741"/>
      <c r="G11" s="741"/>
      <c r="H11" s="741"/>
      <c r="I11" s="741"/>
      <c r="J11" s="742"/>
      <c r="K11" s="732" t="s">
        <v>44</v>
      </c>
      <c r="L11" s="733"/>
      <c r="M11" s="62"/>
    </row>
    <row r="12" spans="2:21" ht="26.25" customHeight="1" thickBot="1"/>
    <row r="13" spans="2:21" ht="24.95" customHeight="1" thickTop="1" thickBot="1">
      <c r="B13" s="136" t="s">
        <v>129</v>
      </c>
      <c r="C13" s="56" t="s">
        <v>39</v>
      </c>
      <c r="E13" s="122" t="s">
        <v>0</v>
      </c>
      <c r="F13" s="4" t="s">
        <v>1</v>
      </c>
      <c r="G13" s="4" t="s">
        <v>2</v>
      </c>
      <c r="H13" s="4" t="s">
        <v>3</v>
      </c>
      <c r="I13" s="4" t="s">
        <v>4</v>
      </c>
      <c r="J13" s="4" t="s">
        <v>5</v>
      </c>
      <c r="K13" s="4" t="s">
        <v>6</v>
      </c>
      <c r="L13" s="4" t="s">
        <v>7</v>
      </c>
      <c r="M13" s="63"/>
      <c r="N13" s="4" t="s">
        <v>8</v>
      </c>
      <c r="O13" s="4" t="s">
        <v>9</v>
      </c>
      <c r="P13" s="4" t="s">
        <v>10</v>
      </c>
      <c r="Q13" s="4" t="s">
        <v>11</v>
      </c>
      <c r="R13" s="4" t="s">
        <v>12</v>
      </c>
      <c r="S13" s="4" t="s">
        <v>13</v>
      </c>
      <c r="T13" s="4" t="s">
        <v>14</v>
      </c>
      <c r="U13" s="4" t="s">
        <v>15</v>
      </c>
    </row>
    <row r="14" spans="2:21" ht="5.25" customHeight="1" thickTop="1" thickBot="1">
      <c r="M14" s="64"/>
    </row>
    <row r="15" spans="2:21" ht="79.5" customHeight="1" thickBot="1">
      <c r="C15" s="10" t="s">
        <v>46</v>
      </c>
      <c r="E15" s="123" t="s">
        <v>459</v>
      </c>
      <c r="F15" s="745" t="s">
        <v>237</v>
      </c>
      <c r="G15" s="746"/>
      <c r="H15" s="746"/>
      <c r="I15" s="746"/>
      <c r="J15" s="746"/>
      <c r="K15" s="746"/>
      <c r="L15" s="746"/>
      <c r="M15" s="746"/>
      <c r="N15" s="746"/>
      <c r="O15" s="746"/>
      <c r="P15" s="746"/>
      <c r="Q15" s="746"/>
      <c r="R15" s="746"/>
      <c r="S15" s="746"/>
      <c r="T15" s="746"/>
      <c r="U15" s="747"/>
    </row>
    <row r="16" spans="2:21" ht="21" customHeight="1" thickBot="1">
      <c r="C16" s="132" t="s">
        <v>193</v>
      </c>
      <c r="E16" s="124" t="s">
        <v>79</v>
      </c>
      <c r="F16" s="36" t="s">
        <v>80</v>
      </c>
      <c r="G16" s="5" t="s">
        <v>81</v>
      </c>
      <c r="H16" s="5" t="s">
        <v>82</v>
      </c>
      <c r="I16" s="5" t="s">
        <v>83</v>
      </c>
      <c r="J16" s="5" t="s">
        <v>84</v>
      </c>
      <c r="K16" s="5" t="s">
        <v>85</v>
      </c>
      <c r="L16" s="34" t="s">
        <v>86</v>
      </c>
      <c r="M16" s="121"/>
      <c r="N16" s="36" t="s">
        <v>87</v>
      </c>
      <c r="O16" s="5" t="s">
        <v>88</v>
      </c>
      <c r="P16" s="5" t="s">
        <v>89</v>
      </c>
      <c r="Q16" s="5" t="s">
        <v>90</v>
      </c>
      <c r="R16" s="5" t="s">
        <v>91</v>
      </c>
      <c r="S16" s="5" t="s">
        <v>92</v>
      </c>
      <c r="T16" s="5" t="s">
        <v>93</v>
      </c>
      <c r="U16" s="5" t="s">
        <v>94</v>
      </c>
    </row>
    <row r="17" spans="2:22" ht="24" customHeight="1" thickBot="1">
      <c r="E17" s="743" t="s">
        <v>119</v>
      </c>
      <c r="F17" s="744"/>
      <c r="G17" s="744"/>
      <c r="H17" s="744"/>
      <c r="I17" s="744"/>
      <c r="J17" s="744"/>
      <c r="K17" s="744"/>
      <c r="L17" s="744"/>
      <c r="M17" s="65"/>
      <c r="N17" s="748" t="s">
        <v>118</v>
      </c>
      <c r="O17" s="744"/>
      <c r="P17" s="744"/>
      <c r="Q17" s="744"/>
      <c r="R17" s="744"/>
      <c r="S17" s="744"/>
      <c r="T17" s="744"/>
      <c r="U17" s="749"/>
    </row>
    <row r="18" spans="2:22" ht="33" customHeight="1" thickBot="1"/>
    <row r="19" spans="2:22" ht="24.95" customHeight="1" thickTop="1" thickBot="1">
      <c r="B19" s="136" t="s">
        <v>130</v>
      </c>
      <c r="C19" s="56" t="s">
        <v>16</v>
      </c>
      <c r="E19" s="4" t="s">
        <v>0</v>
      </c>
      <c r="F19" s="4" t="s">
        <v>1</v>
      </c>
      <c r="G19" s="4" t="s">
        <v>2</v>
      </c>
      <c r="H19" s="4" t="s">
        <v>3</v>
      </c>
      <c r="I19" s="4" t="s">
        <v>4</v>
      </c>
      <c r="J19" s="4" t="s">
        <v>5</v>
      </c>
      <c r="K19" s="4" t="s">
        <v>6</v>
      </c>
      <c r="L19" s="4" t="s">
        <v>7</v>
      </c>
      <c r="M19" s="63"/>
      <c r="N19" s="4" t="s">
        <v>8</v>
      </c>
      <c r="O19" s="4" t="s">
        <v>9</v>
      </c>
      <c r="P19" s="4" t="s">
        <v>10</v>
      </c>
      <c r="Q19" s="4" t="s">
        <v>11</v>
      </c>
      <c r="R19" s="4" t="s">
        <v>12</v>
      </c>
      <c r="S19" s="4" t="s">
        <v>13</v>
      </c>
      <c r="T19" s="4" t="s">
        <v>14</v>
      </c>
      <c r="U19" s="4" t="s">
        <v>15</v>
      </c>
    </row>
    <row r="20" spans="2:22" ht="4.5" customHeight="1" thickTop="1" thickBot="1">
      <c r="M20" s="64"/>
    </row>
    <row r="21" spans="2:22" ht="48.75" customHeight="1" thickBot="1">
      <c r="C21" s="10" t="s">
        <v>47</v>
      </c>
      <c r="E21" s="9" t="s">
        <v>48</v>
      </c>
      <c r="F21" s="694" t="s">
        <v>50</v>
      </c>
      <c r="G21" s="692"/>
      <c r="H21" s="696"/>
      <c r="I21" s="694" t="s">
        <v>49</v>
      </c>
      <c r="J21" s="692"/>
      <c r="K21" s="696"/>
      <c r="L21" s="9" t="s">
        <v>51</v>
      </c>
      <c r="M21" s="66"/>
      <c r="N21" s="694" t="s">
        <v>52</v>
      </c>
      <c r="O21" s="692"/>
      <c r="P21" s="696"/>
      <c r="Q21" s="9" t="s">
        <v>53</v>
      </c>
      <c r="R21" s="9" t="s">
        <v>54</v>
      </c>
      <c r="S21" s="9" t="s">
        <v>55</v>
      </c>
      <c r="T21" s="694" t="s">
        <v>56</v>
      </c>
      <c r="U21" s="696"/>
    </row>
    <row r="22" spans="2:22" ht="21" customHeight="1" thickBot="1">
      <c r="C22" s="3" t="s">
        <v>194</v>
      </c>
      <c r="E22" s="5" t="s">
        <v>17</v>
      </c>
      <c r="F22" s="5" t="s">
        <v>18</v>
      </c>
      <c r="G22" s="5" t="s">
        <v>19</v>
      </c>
      <c r="H22" s="5" t="s">
        <v>20</v>
      </c>
      <c r="I22" s="5" t="s">
        <v>21</v>
      </c>
      <c r="J22" s="5" t="s">
        <v>22</v>
      </c>
      <c r="K22" s="5" t="s">
        <v>23</v>
      </c>
      <c r="L22" s="5" t="s">
        <v>24</v>
      </c>
      <c r="M22" s="63"/>
      <c r="N22" s="5" t="s">
        <v>25</v>
      </c>
      <c r="O22" s="5" t="s">
        <v>26</v>
      </c>
      <c r="P22" s="5" t="s">
        <v>27</v>
      </c>
      <c r="Q22" s="5" t="s">
        <v>28</v>
      </c>
      <c r="R22" s="5" t="s">
        <v>29</v>
      </c>
      <c r="S22" s="5" t="s">
        <v>30</v>
      </c>
      <c r="T22" s="5" t="s">
        <v>31</v>
      </c>
      <c r="U22" s="5" t="s">
        <v>32</v>
      </c>
    </row>
    <row r="23" spans="2:22" ht="5.25" customHeight="1" thickBot="1">
      <c r="M23" s="64"/>
    </row>
    <row r="24" spans="2:22" ht="21" customHeight="1" thickBot="1">
      <c r="D24" s="676" t="s">
        <v>33</v>
      </c>
      <c r="E24" s="18">
        <v>1</v>
      </c>
      <c r="F24" s="23">
        <v>0</v>
      </c>
      <c r="G24" s="8">
        <v>0</v>
      </c>
      <c r="H24" s="18">
        <v>0</v>
      </c>
      <c r="I24" s="23">
        <v>0</v>
      </c>
      <c r="J24" s="8">
        <v>1</v>
      </c>
      <c r="K24" s="18">
        <v>0</v>
      </c>
      <c r="L24" s="23">
        <v>1</v>
      </c>
      <c r="M24" s="72"/>
      <c r="N24" s="8">
        <v>1</v>
      </c>
      <c r="O24" s="8">
        <v>0</v>
      </c>
      <c r="P24" s="18">
        <v>0</v>
      </c>
      <c r="Q24" s="26">
        <v>0</v>
      </c>
      <c r="R24" s="26">
        <v>0</v>
      </c>
      <c r="S24" s="26">
        <v>0</v>
      </c>
      <c r="T24" s="17">
        <v>1</v>
      </c>
      <c r="U24" s="8">
        <v>1</v>
      </c>
      <c r="V24" s="2"/>
    </row>
    <row r="25" spans="2:22" s="7" customFormat="1" ht="26.25" customHeight="1">
      <c r="B25" s="48"/>
      <c r="E25" s="19" t="s">
        <v>61</v>
      </c>
      <c r="F25" s="714" t="s">
        <v>184</v>
      </c>
      <c r="G25" s="715"/>
      <c r="H25" s="716"/>
      <c r="I25" s="688" t="s">
        <v>108</v>
      </c>
      <c r="J25" s="689"/>
      <c r="K25" s="690"/>
      <c r="L25" s="75" t="s">
        <v>120</v>
      </c>
      <c r="M25" s="67"/>
      <c r="N25" s="719" t="s">
        <v>99</v>
      </c>
      <c r="O25" s="689"/>
      <c r="P25" s="690"/>
      <c r="Q25" s="58" t="s">
        <v>75</v>
      </c>
      <c r="R25" s="58" t="s">
        <v>69</v>
      </c>
      <c r="S25" s="58" t="s">
        <v>71</v>
      </c>
      <c r="T25" s="717" t="s">
        <v>95</v>
      </c>
      <c r="U25" s="718"/>
    </row>
    <row r="26" spans="2:22" s="11" customFormat="1" ht="15" customHeight="1">
      <c r="B26" s="47"/>
      <c r="E26" s="20" t="s">
        <v>57</v>
      </c>
      <c r="F26" s="704" t="s">
        <v>185</v>
      </c>
      <c r="G26" s="705"/>
      <c r="H26" s="706"/>
      <c r="I26" s="697" t="s">
        <v>110</v>
      </c>
      <c r="J26" s="698"/>
      <c r="K26" s="699"/>
      <c r="L26" s="76" t="s">
        <v>65</v>
      </c>
      <c r="M26" s="68"/>
      <c r="N26" s="700" t="s">
        <v>100</v>
      </c>
      <c r="O26" s="698"/>
      <c r="P26" s="699"/>
      <c r="Q26" s="59" t="s">
        <v>76</v>
      </c>
      <c r="R26" s="59" t="s">
        <v>68</v>
      </c>
      <c r="S26" s="57" t="s">
        <v>74</v>
      </c>
      <c r="T26" s="707" t="s">
        <v>96</v>
      </c>
      <c r="U26" s="708"/>
    </row>
    <row r="27" spans="2:22" s="11" customFormat="1" ht="15" customHeight="1">
      <c r="B27" s="47"/>
      <c r="E27" s="20" t="s">
        <v>58</v>
      </c>
      <c r="F27" s="704" t="s">
        <v>186</v>
      </c>
      <c r="G27" s="705"/>
      <c r="H27" s="706"/>
      <c r="I27" s="709" t="s">
        <v>152</v>
      </c>
      <c r="J27" s="710"/>
      <c r="K27" s="711"/>
      <c r="L27" s="76"/>
      <c r="M27" s="68"/>
      <c r="N27" s="700" t="s">
        <v>101</v>
      </c>
      <c r="O27" s="698"/>
      <c r="P27" s="699"/>
      <c r="Q27" s="57" t="s">
        <v>77</v>
      </c>
      <c r="R27" s="27"/>
      <c r="S27" s="59" t="s">
        <v>68</v>
      </c>
      <c r="T27" s="707" t="s">
        <v>97</v>
      </c>
      <c r="U27" s="708"/>
    </row>
    <row r="28" spans="2:22" ht="15" customHeight="1">
      <c r="E28" s="670" t="s">
        <v>59</v>
      </c>
      <c r="F28" s="721" t="s">
        <v>187</v>
      </c>
      <c r="G28" s="722"/>
      <c r="H28" s="723"/>
      <c r="I28" s="697" t="s">
        <v>112</v>
      </c>
      <c r="J28" s="698"/>
      <c r="K28" s="699"/>
      <c r="L28" s="77" t="s">
        <v>66</v>
      </c>
      <c r="M28" s="69"/>
      <c r="N28" s="700" t="s">
        <v>102</v>
      </c>
      <c r="O28" s="698"/>
      <c r="P28" s="699"/>
      <c r="Q28" s="59" t="s">
        <v>68</v>
      </c>
      <c r="R28" s="32"/>
      <c r="S28" s="27"/>
      <c r="T28" s="712" t="s">
        <v>98</v>
      </c>
      <c r="U28" s="713"/>
    </row>
    <row r="29" spans="2:22" ht="15" customHeight="1">
      <c r="E29" s="21" t="s">
        <v>60</v>
      </c>
      <c r="F29" s="704" t="s">
        <v>205</v>
      </c>
      <c r="G29" s="705"/>
      <c r="H29" s="706"/>
      <c r="I29" s="697" t="s">
        <v>113</v>
      </c>
      <c r="J29" s="698"/>
      <c r="K29" s="699"/>
      <c r="L29" s="78" t="s">
        <v>67</v>
      </c>
      <c r="M29" s="70"/>
      <c r="N29" s="720" t="s">
        <v>103</v>
      </c>
      <c r="O29" s="710"/>
      <c r="P29" s="711"/>
      <c r="Q29" s="28"/>
      <c r="R29" s="32"/>
      <c r="S29" s="32"/>
      <c r="T29" s="11"/>
      <c r="U29" s="14"/>
    </row>
    <row r="30" spans="2:22" ht="15" customHeight="1">
      <c r="E30" s="20" t="s">
        <v>62</v>
      </c>
      <c r="F30" s="704" t="s">
        <v>188</v>
      </c>
      <c r="G30" s="705"/>
      <c r="H30" s="706"/>
      <c r="I30" s="697" t="s">
        <v>114</v>
      </c>
      <c r="J30" s="698"/>
      <c r="K30" s="699"/>
      <c r="L30" s="79" t="s">
        <v>68</v>
      </c>
      <c r="M30" s="71"/>
      <c r="N30" s="700" t="s">
        <v>104</v>
      </c>
      <c r="O30" s="698"/>
      <c r="P30" s="699"/>
      <c r="Q30" s="28" t="s">
        <v>78</v>
      </c>
      <c r="R30" s="27" t="s">
        <v>70</v>
      </c>
      <c r="S30" s="28" t="s">
        <v>73</v>
      </c>
      <c r="T30" s="11"/>
      <c r="U30" s="14"/>
    </row>
    <row r="31" spans="2:22" ht="15" customHeight="1">
      <c r="E31" s="20" t="s">
        <v>63</v>
      </c>
      <c r="F31" s="704" t="s">
        <v>189</v>
      </c>
      <c r="G31" s="705"/>
      <c r="H31" s="706"/>
      <c r="I31" s="697" t="s">
        <v>115</v>
      </c>
      <c r="J31" s="698"/>
      <c r="K31" s="699"/>
      <c r="L31" s="80"/>
      <c r="M31" s="67"/>
      <c r="N31" s="700" t="s">
        <v>105</v>
      </c>
      <c r="O31" s="698"/>
      <c r="P31" s="699"/>
      <c r="Q31" s="28" t="s">
        <v>72</v>
      </c>
      <c r="R31" s="28"/>
      <c r="S31" s="28" t="s">
        <v>74</v>
      </c>
      <c r="T31" s="11"/>
      <c r="U31" s="14"/>
    </row>
    <row r="32" spans="2:22" ht="15" customHeight="1">
      <c r="E32" s="20" t="s">
        <v>64</v>
      </c>
      <c r="F32" s="704" t="s">
        <v>190</v>
      </c>
      <c r="G32" s="705"/>
      <c r="H32" s="706"/>
      <c r="I32" s="697" t="s">
        <v>116</v>
      </c>
      <c r="J32" s="698"/>
      <c r="K32" s="699"/>
      <c r="L32" s="80"/>
      <c r="M32" s="67"/>
      <c r="N32" s="700" t="s">
        <v>106</v>
      </c>
      <c r="O32" s="698"/>
      <c r="P32" s="699"/>
      <c r="Q32" s="28"/>
      <c r="R32" s="28"/>
      <c r="S32" s="28"/>
      <c r="T32" s="11"/>
      <c r="U32" s="14"/>
    </row>
    <row r="33" spans="2:21" ht="15" customHeight="1" thickBot="1">
      <c r="E33" s="22" t="s">
        <v>63</v>
      </c>
      <c r="F33" s="24"/>
      <c r="G33" s="13"/>
      <c r="H33" s="25"/>
      <c r="I33" s="60"/>
      <c r="J33" s="675" t="s">
        <v>458</v>
      </c>
      <c r="K33" s="25"/>
      <c r="L33" s="81"/>
      <c r="M33" s="73"/>
      <c r="N33" s="701"/>
      <c r="O33" s="702"/>
      <c r="P33" s="703"/>
      <c r="Q33" s="30"/>
      <c r="R33" s="30"/>
      <c r="S33" s="30"/>
      <c r="T33" s="13"/>
      <c r="U33" s="16"/>
    </row>
    <row r="34" spans="2:21">
      <c r="I34" s="33" t="s">
        <v>109</v>
      </c>
      <c r="M34" s="64"/>
    </row>
    <row r="35" spans="2:21">
      <c r="I35" s="1" t="s">
        <v>122</v>
      </c>
    </row>
    <row r="37" spans="2:21" ht="20.25">
      <c r="C37" s="131" t="s">
        <v>191</v>
      </c>
      <c r="K37" s="135" t="s">
        <v>198</v>
      </c>
      <c r="L37" s="319" t="s">
        <v>457</v>
      </c>
    </row>
    <row r="38" spans="2:21" ht="26.25">
      <c r="L38" s="319" t="s">
        <v>374</v>
      </c>
    </row>
    <row r="39" spans="2:21" ht="18">
      <c r="C39" s="6" t="s">
        <v>322</v>
      </c>
      <c r="L39" s="134" t="s">
        <v>334</v>
      </c>
    </row>
    <row r="40" spans="2:21" ht="5.25" customHeight="1"/>
    <row r="41" spans="2:21" ht="26.25">
      <c r="L41" s="134" t="s">
        <v>331</v>
      </c>
    </row>
    <row r="42" spans="2:21">
      <c r="L42" s="134" t="s">
        <v>195</v>
      </c>
    </row>
    <row r="43" spans="2:21" ht="15.75" thickBot="1"/>
    <row r="44" spans="2:21" ht="36" customHeight="1" thickBot="1">
      <c r="E44" s="37" t="s">
        <v>48</v>
      </c>
      <c r="F44" s="691" t="s">
        <v>50</v>
      </c>
      <c r="G44" s="692"/>
      <c r="H44" s="693"/>
      <c r="I44" s="691" t="s">
        <v>49</v>
      </c>
      <c r="J44" s="692"/>
      <c r="K44" s="693"/>
      <c r="L44" s="86" t="s">
        <v>51</v>
      </c>
      <c r="M44" s="83"/>
      <c r="N44" s="694" t="s">
        <v>52</v>
      </c>
      <c r="O44" s="692"/>
      <c r="P44" s="693"/>
      <c r="Q44" s="43" t="s">
        <v>53</v>
      </c>
      <c r="R44" s="43" t="s">
        <v>54</v>
      </c>
      <c r="S44" s="43" t="s">
        <v>55</v>
      </c>
      <c r="T44" s="695" t="s">
        <v>56</v>
      </c>
      <c r="U44" s="696"/>
    </row>
    <row r="45" spans="2:21" ht="16.5" thickBot="1">
      <c r="E45" s="38" t="s">
        <v>17</v>
      </c>
      <c r="F45" s="35" t="s">
        <v>18</v>
      </c>
      <c r="G45" s="5" t="s">
        <v>19</v>
      </c>
      <c r="H45" s="38" t="s">
        <v>20</v>
      </c>
      <c r="I45" s="35" t="s">
        <v>21</v>
      </c>
      <c r="J45" s="5" t="s">
        <v>22</v>
      </c>
      <c r="K45" s="38" t="s">
        <v>23</v>
      </c>
      <c r="L45" s="35" t="s">
        <v>24</v>
      </c>
      <c r="M45" s="74"/>
      <c r="N45" s="5" t="s">
        <v>25</v>
      </c>
      <c r="O45" s="5" t="s">
        <v>26</v>
      </c>
      <c r="P45" s="38" t="s">
        <v>27</v>
      </c>
      <c r="Q45" s="44" t="s">
        <v>28</v>
      </c>
      <c r="R45" s="44" t="s">
        <v>29</v>
      </c>
      <c r="S45" s="44" t="s">
        <v>30</v>
      </c>
      <c r="T45" s="36" t="s">
        <v>31</v>
      </c>
      <c r="U45" s="5" t="s">
        <v>32</v>
      </c>
    </row>
    <row r="46" spans="2:21" s="15" customFormat="1" ht="18">
      <c r="B46" s="47"/>
      <c r="E46" s="674">
        <v>1</v>
      </c>
      <c r="F46" s="671">
        <v>0</v>
      </c>
      <c r="G46" s="672">
        <v>0</v>
      </c>
      <c r="H46" s="673">
        <v>0</v>
      </c>
      <c r="I46" s="671">
        <v>0</v>
      </c>
      <c r="J46" s="672">
        <v>1</v>
      </c>
      <c r="K46" s="673">
        <v>0</v>
      </c>
      <c r="L46" s="674">
        <v>0</v>
      </c>
      <c r="M46" s="84"/>
      <c r="N46" s="671">
        <v>1</v>
      </c>
      <c r="O46" s="672">
        <v>0</v>
      </c>
      <c r="P46" s="673">
        <v>0</v>
      </c>
      <c r="Q46" s="674">
        <v>0</v>
      </c>
      <c r="R46" s="674">
        <v>0</v>
      </c>
      <c r="S46" s="674">
        <v>0</v>
      </c>
      <c r="T46" s="671">
        <v>1</v>
      </c>
      <c r="U46" s="673">
        <v>1</v>
      </c>
    </row>
    <row r="47" spans="2:21" s="11" customFormat="1">
      <c r="B47" s="47"/>
      <c r="E47" s="51"/>
      <c r="F47" s="683"/>
      <c r="G47" s="684"/>
      <c r="H47" s="685"/>
      <c r="I47" s="683"/>
      <c r="J47" s="684"/>
      <c r="K47" s="685"/>
      <c r="L47" s="87"/>
      <c r="M47" s="85"/>
      <c r="N47" s="686"/>
      <c r="O47" s="684"/>
      <c r="P47" s="685"/>
      <c r="Q47" s="29" t="s">
        <v>75</v>
      </c>
      <c r="R47" s="29"/>
      <c r="S47" s="29"/>
      <c r="T47" s="683"/>
      <c r="U47" s="687"/>
    </row>
    <row r="48" spans="2:21" s="11" customFormat="1">
      <c r="B48" s="47"/>
      <c r="E48" s="51" t="s">
        <v>121</v>
      </c>
      <c r="F48" s="683" t="s">
        <v>107</v>
      </c>
      <c r="G48" s="684"/>
      <c r="H48" s="685"/>
      <c r="I48" s="683" t="s">
        <v>111</v>
      </c>
      <c r="J48" s="684"/>
      <c r="K48" s="685"/>
      <c r="L48" s="87" t="s">
        <v>120</v>
      </c>
      <c r="M48" s="85"/>
      <c r="N48" s="686" t="s">
        <v>103</v>
      </c>
      <c r="O48" s="684"/>
      <c r="P48" s="685"/>
      <c r="Q48" s="31" t="s">
        <v>76</v>
      </c>
      <c r="R48" s="29" t="s">
        <v>69</v>
      </c>
      <c r="S48" s="29" t="s">
        <v>71</v>
      </c>
      <c r="T48" s="683" t="s">
        <v>98</v>
      </c>
      <c r="U48" s="687"/>
    </row>
    <row r="49" spans="2:21" s="11" customFormat="1">
      <c r="B49" s="47"/>
      <c r="E49" s="39"/>
      <c r="F49" s="41"/>
      <c r="H49" s="42"/>
      <c r="I49" s="41"/>
      <c r="K49" s="42"/>
      <c r="L49" s="87" t="s">
        <v>135</v>
      </c>
      <c r="M49" s="73"/>
      <c r="N49" s="88"/>
      <c r="P49" s="42"/>
      <c r="Q49" s="31" t="s">
        <v>77</v>
      </c>
      <c r="R49" s="31" t="s">
        <v>68</v>
      </c>
      <c r="S49" s="31" t="s">
        <v>74</v>
      </c>
      <c r="U49" s="14"/>
    </row>
    <row r="50" spans="2:21" s="11" customFormat="1" ht="15.75" thickBot="1">
      <c r="B50" s="47"/>
      <c r="E50" s="40"/>
      <c r="F50" s="24"/>
      <c r="G50" s="13"/>
      <c r="H50" s="25"/>
      <c r="I50" s="24"/>
      <c r="J50" s="13"/>
      <c r="K50" s="25"/>
      <c r="L50" s="81"/>
      <c r="M50" s="73"/>
      <c r="N50" s="89"/>
      <c r="O50" s="13"/>
      <c r="P50" s="25"/>
      <c r="Q50" s="45" t="s">
        <v>68</v>
      </c>
      <c r="R50" s="30"/>
      <c r="S50" s="31" t="s">
        <v>68</v>
      </c>
      <c r="T50" s="13"/>
      <c r="U50" s="16"/>
    </row>
    <row r="51" spans="2:21" s="11" customFormat="1" ht="19.5" customHeight="1" thickBot="1">
      <c r="B51" s="47"/>
      <c r="E51" s="694" t="s">
        <v>119</v>
      </c>
      <c r="F51" s="692"/>
      <c r="G51" s="692"/>
      <c r="H51" s="692"/>
      <c r="I51" s="692"/>
      <c r="J51" s="692"/>
      <c r="K51" s="692"/>
      <c r="L51" s="696"/>
      <c r="M51" s="82"/>
      <c r="N51" s="694" t="s">
        <v>118</v>
      </c>
      <c r="O51" s="692"/>
      <c r="P51" s="692"/>
      <c r="Q51" s="692"/>
      <c r="R51" s="692"/>
      <c r="S51" s="692"/>
      <c r="T51" s="692"/>
      <c r="U51" s="696"/>
    </row>
    <row r="52" spans="2:21" s="11" customFormat="1">
      <c r="B52" s="47"/>
      <c r="Q52" s="12"/>
    </row>
    <row r="53" spans="2:21" ht="18">
      <c r="C53" s="6" t="s">
        <v>321</v>
      </c>
    </row>
    <row r="54" spans="2:21" ht="5.25" customHeight="1"/>
    <row r="55" spans="2:21" ht="26.25">
      <c r="H55" s="134" t="s">
        <v>329</v>
      </c>
    </row>
    <row r="56" spans="2:21">
      <c r="H56" s="133" t="s">
        <v>196</v>
      </c>
    </row>
    <row r="57" spans="2:21" ht="21.75" customHeight="1"/>
    <row r="58" spans="2:21" ht="18">
      <c r="C58" s="6" t="s">
        <v>323</v>
      </c>
      <c r="G58" s="133"/>
    </row>
    <row r="59" spans="2:21" ht="26.25">
      <c r="J59" s="134" t="s">
        <v>330</v>
      </c>
    </row>
    <row r="60" spans="2:21">
      <c r="J60" s="133" t="s">
        <v>197</v>
      </c>
    </row>
    <row r="68" spans="3:5" ht="26.25">
      <c r="C68" s="1" t="s">
        <v>332</v>
      </c>
    </row>
    <row r="71" spans="3:5" ht="27.75">
      <c r="C71" s="50" t="s">
        <v>327</v>
      </c>
    </row>
    <row r="73" spans="3:5" ht="20.25">
      <c r="C73" s="128" t="s">
        <v>320</v>
      </c>
      <c r="D73" s="49" t="s">
        <v>34</v>
      </c>
      <c r="E73" s="49" t="s">
        <v>131</v>
      </c>
    </row>
    <row r="74" spans="3:5" ht="18">
      <c r="C74" s="49"/>
      <c r="D74" s="49" t="s">
        <v>35</v>
      </c>
      <c r="E74" s="49" t="s">
        <v>132</v>
      </c>
    </row>
    <row r="75" spans="3:5" ht="18">
      <c r="C75" s="49"/>
      <c r="D75" s="49" t="s">
        <v>36</v>
      </c>
      <c r="E75" s="49" t="s">
        <v>133</v>
      </c>
    </row>
    <row r="76" spans="3:5" ht="18">
      <c r="C76" s="49"/>
      <c r="D76" s="49" t="s">
        <v>37</v>
      </c>
      <c r="E76" s="49" t="s">
        <v>134</v>
      </c>
    </row>
    <row r="79" spans="3:5" ht="26.25">
      <c r="C79" s="53" t="s">
        <v>151</v>
      </c>
    </row>
    <row r="80" spans="3:5" ht="7.5" customHeight="1"/>
    <row r="81" spans="3:7" ht="7.5" customHeight="1" thickBot="1"/>
    <row r="82" spans="3:7" ht="23.25" customHeight="1" thickTop="1" thickBot="1">
      <c r="C82" s="91" t="s">
        <v>146</v>
      </c>
      <c r="D82" s="570" t="s">
        <v>149</v>
      </c>
      <c r="E82" s="596" t="s">
        <v>420</v>
      </c>
      <c r="F82" s="597" t="s">
        <v>145</v>
      </c>
      <c r="G82" s="598" t="s">
        <v>156</v>
      </c>
    </row>
    <row r="83" spans="3:7" ht="18">
      <c r="C83" s="55" t="s">
        <v>147</v>
      </c>
      <c r="D83" s="592">
        <v>6.1440000000000001</v>
      </c>
      <c r="E83" s="574">
        <f t="shared" ref="E83:E88" si="0">D83/32767</f>
        <v>1.8750572222052677E-4</v>
      </c>
      <c r="F83" s="95">
        <f>E83*1000</f>
        <v>0.18750572222052678</v>
      </c>
      <c r="G83" s="575">
        <f>F83*1000</f>
        <v>187.50572222052676</v>
      </c>
    </row>
    <row r="84" spans="3:7" ht="18">
      <c r="C84" s="55" t="s">
        <v>153</v>
      </c>
      <c r="D84" s="592">
        <v>4.0960000000000001</v>
      </c>
      <c r="E84" s="576">
        <f t="shared" si="0"/>
        <v>1.2500381481368451E-4</v>
      </c>
      <c r="F84" s="96">
        <f>E84*1000</f>
        <v>0.1250038148136845</v>
      </c>
      <c r="G84" s="575">
        <f t="shared" ref="G84:G88" si="1">F84*1000</f>
        <v>125.0038148136845</v>
      </c>
    </row>
    <row r="85" spans="3:7" ht="18">
      <c r="C85" s="93" t="s">
        <v>148</v>
      </c>
      <c r="D85" s="593">
        <v>2.048</v>
      </c>
      <c r="E85" s="577">
        <f t="shared" si="0"/>
        <v>6.2501907406842255E-5</v>
      </c>
      <c r="F85" s="92">
        <f>E85*1000</f>
        <v>6.250190740684225E-2</v>
      </c>
      <c r="G85" s="599">
        <f t="shared" si="1"/>
        <v>62.50190740684225</v>
      </c>
    </row>
    <row r="86" spans="3:7" ht="18">
      <c r="C86" s="90" t="s">
        <v>154</v>
      </c>
      <c r="D86" s="594">
        <v>1.024</v>
      </c>
      <c r="E86" s="576">
        <f t="shared" si="0"/>
        <v>3.1250953703421128E-5</v>
      </c>
      <c r="F86" s="96">
        <f>E86*1000</f>
        <v>3.1250953703421125E-2</v>
      </c>
      <c r="G86" s="575">
        <f t="shared" si="1"/>
        <v>31.250953703421125</v>
      </c>
    </row>
    <row r="87" spans="3:7" ht="18">
      <c r="C87" s="90" t="s">
        <v>155</v>
      </c>
      <c r="D87" s="594">
        <v>0.51200000000000001</v>
      </c>
      <c r="E87" s="578">
        <f t="shared" si="0"/>
        <v>1.5625476851710564E-5</v>
      </c>
      <c r="F87" s="97">
        <f>E87*1000</f>
        <v>1.5625476851710562E-2</v>
      </c>
      <c r="G87" s="575">
        <f t="shared" si="1"/>
        <v>15.625476851710562</v>
      </c>
    </row>
    <row r="88" spans="3:7" ht="18.75" thickBot="1">
      <c r="C88" s="54" t="s">
        <v>150</v>
      </c>
      <c r="D88" s="595">
        <v>0.25600000000000001</v>
      </c>
      <c r="E88" s="579">
        <f t="shared" si="0"/>
        <v>7.8127384258552819E-6</v>
      </c>
      <c r="F88" s="580">
        <f>E88*1000</f>
        <v>7.8127384258552812E-3</v>
      </c>
      <c r="G88" s="581">
        <f t="shared" si="1"/>
        <v>7.8127384258552812</v>
      </c>
    </row>
    <row r="91" spans="3:7" ht="23.25">
      <c r="C91" s="154" t="s">
        <v>289</v>
      </c>
    </row>
    <row r="92" spans="3:7" ht="24" customHeight="1">
      <c r="C92" s="49" t="s">
        <v>290</v>
      </c>
    </row>
    <row r="93" spans="3:7" ht="18">
      <c r="C93" s="49" t="s">
        <v>291</v>
      </c>
    </row>
    <row r="94" spans="3:7" ht="18">
      <c r="C94" s="49" t="s">
        <v>292</v>
      </c>
    </row>
    <row r="95" spans="3:7" ht="5.25" customHeight="1"/>
    <row r="96" spans="3:7" ht="18">
      <c r="C96" s="49" t="s">
        <v>328</v>
      </c>
    </row>
    <row r="100" ht="6.75" customHeight="1"/>
    <row r="101" ht="75.75" customHeight="1"/>
  </sheetData>
  <sheetProtection password="C9A7" sheet="1" objects="1" scenarios="1" selectLockedCells="1" selectUnlockedCells="1"/>
  <mergeCells count="57">
    <mergeCell ref="F21:H21"/>
    <mergeCell ref="I21:K21"/>
    <mergeCell ref="E8:J11"/>
    <mergeCell ref="E17:L17"/>
    <mergeCell ref="F15:U15"/>
    <mergeCell ref="N17:U17"/>
    <mergeCell ref="N21:P21"/>
    <mergeCell ref="T21:U21"/>
    <mergeCell ref="K7:L7"/>
    <mergeCell ref="K8:L8"/>
    <mergeCell ref="K9:L9"/>
    <mergeCell ref="K10:L10"/>
    <mergeCell ref="K11:L11"/>
    <mergeCell ref="T28:U28"/>
    <mergeCell ref="I29:K29"/>
    <mergeCell ref="I30:K30"/>
    <mergeCell ref="F29:H29"/>
    <mergeCell ref="F25:H25"/>
    <mergeCell ref="T25:U25"/>
    <mergeCell ref="N25:P25"/>
    <mergeCell ref="F30:H30"/>
    <mergeCell ref="N29:P29"/>
    <mergeCell ref="N30:P30"/>
    <mergeCell ref="F28:H28"/>
    <mergeCell ref="I28:K28"/>
    <mergeCell ref="N28:P28"/>
    <mergeCell ref="F26:H26"/>
    <mergeCell ref="I26:K26"/>
    <mergeCell ref="N26:P26"/>
    <mergeCell ref="T26:U26"/>
    <mergeCell ref="F27:H27"/>
    <mergeCell ref="I27:K27"/>
    <mergeCell ref="N27:P27"/>
    <mergeCell ref="T27:U27"/>
    <mergeCell ref="E51:L51"/>
    <mergeCell ref="N51:U51"/>
    <mergeCell ref="F32:H32"/>
    <mergeCell ref="F48:H48"/>
    <mergeCell ref="I48:K48"/>
    <mergeCell ref="N48:P48"/>
    <mergeCell ref="T48:U48"/>
    <mergeCell ref="B2:C2"/>
    <mergeCell ref="F47:H47"/>
    <mergeCell ref="I47:K47"/>
    <mergeCell ref="N47:P47"/>
    <mergeCell ref="T47:U47"/>
    <mergeCell ref="I25:K25"/>
    <mergeCell ref="F44:H44"/>
    <mergeCell ref="I44:K44"/>
    <mergeCell ref="N44:P44"/>
    <mergeCell ref="T44:U44"/>
    <mergeCell ref="I31:K31"/>
    <mergeCell ref="I32:K32"/>
    <mergeCell ref="N31:P31"/>
    <mergeCell ref="N33:P33"/>
    <mergeCell ref="N32:P32"/>
    <mergeCell ref="F31:H31"/>
  </mergeCells>
  <printOptions horizontalCentered="1" verticalCentered="1"/>
  <pageMargins left="0.15748031496062992" right="0.15748031496062992" top="0.19685039370078741" bottom="0.19685039370078741" header="0.15748031496062992" footer="0.15748031496062992"/>
  <pageSetup paperSize="9" scale="34"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dimension ref="A1:M19"/>
  <sheetViews>
    <sheetView showGridLines="0" showRowColHeaders="0" workbookViewId="0">
      <selection activeCell="M32" sqref="M32"/>
    </sheetView>
  </sheetViews>
  <sheetFormatPr baseColWidth="10" defaultRowHeight="15"/>
  <cols>
    <col min="2" max="2" width="14.85546875" customWidth="1"/>
    <col min="3" max="3" width="32.5703125" customWidth="1"/>
    <col min="7" max="7" width="20" customWidth="1"/>
    <col min="8" max="8" width="19.28515625" customWidth="1"/>
    <col min="10" max="10" width="17.140625" bestFit="1" customWidth="1"/>
  </cols>
  <sheetData>
    <row r="1" spans="1:13">
      <c r="B1" s="141" t="s">
        <v>260</v>
      </c>
      <c r="C1" s="141" t="s">
        <v>261</v>
      </c>
      <c r="E1" s="142" t="s">
        <v>262</v>
      </c>
      <c r="F1" s="142" t="s">
        <v>263</v>
      </c>
      <c r="G1" s="142" t="s">
        <v>264</v>
      </c>
      <c r="H1" s="142" t="s">
        <v>265</v>
      </c>
      <c r="I1" s="142" t="s">
        <v>266</v>
      </c>
      <c r="J1" s="142" t="s">
        <v>267</v>
      </c>
    </row>
    <row r="2" spans="1:13" ht="28.5">
      <c r="B2" s="515">
        <v>-567</v>
      </c>
      <c r="C2" s="516" t="str">
        <f>J18</f>
        <v>1111110111001001</v>
      </c>
      <c r="E2" s="142">
        <v>1</v>
      </c>
      <c r="F2" s="142">
        <f>-B2</f>
        <v>567</v>
      </c>
      <c r="G2" s="142">
        <f>MOD(F2,2)</f>
        <v>1</v>
      </c>
      <c r="H2" s="142">
        <f>IF(G2=0,1,0)</f>
        <v>0</v>
      </c>
      <c r="I2" s="150">
        <f>IF(H2+1&gt;1,1,0)</f>
        <v>0</v>
      </c>
      <c r="J2" s="143">
        <f>IF(H2+1&gt;1,0,H2+1)</f>
        <v>1</v>
      </c>
    </row>
    <row r="3" spans="1:13">
      <c r="E3" s="142">
        <v>2</v>
      </c>
      <c r="F3" s="142">
        <f>INT(F2/2)</f>
        <v>283</v>
      </c>
      <c r="G3" s="142">
        <f>MOD(F3,2)</f>
        <v>1</v>
      </c>
      <c r="H3" s="142">
        <f t="shared" ref="H3:H17" si="0">IF(G3=1,0,1)</f>
        <v>0</v>
      </c>
      <c r="I3" s="142">
        <f>IF(H3+I2&gt;1,1,0)</f>
        <v>0</v>
      </c>
      <c r="J3" s="142">
        <f>IF(H3+I2&gt;1,0,H3+I2)</f>
        <v>0</v>
      </c>
      <c r="M3" s="153" t="s">
        <v>273</v>
      </c>
    </row>
    <row r="4" spans="1:13">
      <c r="B4" t="s">
        <v>268</v>
      </c>
      <c r="E4" s="142">
        <v>3</v>
      </c>
      <c r="F4" s="142">
        <f t="shared" ref="F4:F17" si="1">INT(F3/2)</f>
        <v>141</v>
      </c>
      <c r="G4" s="142">
        <f t="shared" ref="G4:G17" si="2">MOD(F4,2)</f>
        <v>1</v>
      </c>
      <c r="H4" s="142">
        <f t="shared" si="0"/>
        <v>0</v>
      </c>
      <c r="I4" s="142">
        <f t="shared" ref="I4:I17" si="3">IF(H4+I3&gt;1,1,0)</f>
        <v>0</v>
      </c>
      <c r="J4" s="142">
        <f t="shared" ref="J4:J17" si="4">IF(H4+I3&gt;1,0,H4+I3)</f>
        <v>0</v>
      </c>
      <c r="M4" t="s">
        <v>389</v>
      </c>
    </row>
    <row r="5" spans="1:13">
      <c r="B5" s="144" t="str">
        <f>IF(OR(B2&gt;0,B2&lt;-POWER(2,16-1)),"Conversion impossible","OK")</f>
        <v>OK</v>
      </c>
      <c r="C5" s="145"/>
      <c r="E5" s="142">
        <v>4</v>
      </c>
      <c r="F5" s="142">
        <f t="shared" si="1"/>
        <v>70</v>
      </c>
      <c r="G5" s="142">
        <f t="shared" si="2"/>
        <v>0</v>
      </c>
      <c r="H5" s="142">
        <f t="shared" si="0"/>
        <v>1</v>
      </c>
      <c r="I5" s="142">
        <f t="shared" si="3"/>
        <v>0</v>
      </c>
      <c r="J5" s="142">
        <f t="shared" si="4"/>
        <v>1</v>
      </c>
      <c r="M5" t="s">
        <v>274</v>
      </c>
    </row>
    <row r="6" spans="1:13">
      <c r="E6" s="142">
        <v>5</v>
      </c>
      <c r="F6" s="142">
        <f t="shared" si="1"/>
        <v>35</v>
      </c>
      <c r="G6" s="142">
        <f t="shared" si="2"/>
        <v>1</v>
      </c>
      <c r="H6" s="142">
        <f t="shared" si="0"/>
        <v>0</v>
      </c>
      <c r="I6" s="142">
        <f t="shared" si="3"/>
        <v>0</v>
      </c>
      <c r="J6" s="142">
        <f t="shared" si="4"/>
        <v>0</v>
      </c>
    </row>
    <row r="7" spans="1:13" ht="21">
      <c r="A7" s="146"/>
      <c r="B7" s="152" t="s">
        <v>272</v>
      </c>
      <c r="E7" s="142">
        <v>6</v>
      </c>
      <c r="F7" s="142">
        <f t="shared" si="1"/>
        <v>17</v>
      </c>
      <c r="G7" s="142">
        <f t="shared" si="2"/>
        <v>1</v>
      </c>
      <c r="H7" s="142">
        <f t="shared" si="0"/>
        <v>0</v>
      </c>
      <c r="I7" s="142">
        <f t="shared" si="3"/>
        <v>0</v>
      </c>
      <c r="J7" s="142">
        <f t="shared" si="4"/>
        <v>0</v>
      </c>
    </row>
    <row r="8" spans="1:13">
      <c r="E8" s="142">
        <v>7</v>
      </c>
      <c r="F8" s="142">
        <f t="shared" si="1"/>
        <v>8</v>
      </c>
      <c r="G8" s="142">
        <f t="shared" si="2"/>
        <v>0</v>
      </c>
      <c r="H8" s="142">
        <f t="shared" si="0"/>
        <v>1</v>
      </c>
      <c r="I8" s="142">
        <f t="shared" si="3"/>
        <v>0</v>
      </c>
      <c r="J8" s="142">
        <f t="shared" si="4"/>
        <v>1</v>
      </c>
    </row>
    <row r="9" spans="1:13">
      <c r="E9" s="142">
        <v>8</v>
      </c>
      <c r="F9" s="142">
        <f t="shared" si="1"/>
        <v>4</v>
      </c>
      <c r="G9" s="142">
        <f t="shared" si="2"/>
        <v>0</v>
      </c>
      <c r="H9" s="142">
        <f t="shared" si="0"/>
        <v>1</v>
      </c>
      <c r="I9" s="142">
        <f t="shared" si="3"/>
        <v>0</v>
      </c>
      <c r="J9" s="142">
        <f t="shared" si="4"/>
        <v>1</v>
      </c>
    </row>
    <row r="10" spans="1:13">
      <c r="E10" s="142">
        <v>9</v>
      </c>
      <c r="F10" s="142">
        <f t="shared" si="1"/>
        <v>2</v>
      </c>
      <c r="G10" s="142">
        <f t="shared" si="2"/>
        <v>0</v>
      </c>
      <c r="H10" s="142">
        <f t="shared" si="0"/>
        <v>1</v>
      </c>
      <c r="I10" s="142">
        <f t="shared" si="3"/>
        <v>0</v>
      </c>
      <c r="J10" s="142">
        <f t="shared" si="4"/>
        <v>1</v>
      </c>
    </row>
    <row r="11" spans="1:13">
      <c r="E11" s="142">
        <v>10</v>
      </c>
      <c r="F11" s="142">
        <f t="shared" si="1"/>
        <v>1</v>
      </c>
      <c r="G11" s="142">
        <f t="shared" si="2"/>
        <v>1</v>
      </c>
      <c r="H11" s="142">
        <f t="shared" si="0"/>
        <v>0</v>
      </c>
      <c r="I11" s="142">
        <f t="shared" si="3"/>
        <v>0</v>
      </c>
      <c r="J11" s="142">
        <f t="shared" si="4"/>
        <v>0</v>
      </c>
    </row>
    <row r="12" spans="1:13">
      <c r="E12" s="142">
        <v>11</v>
      </c>
      <c r="F12" s="142">
        <f t="shared" si="1"/>
        <v>0</v>
      </c>
      <c r="G12" s="142">
        <f t="shared" si="2"/>
        <v>0</v>
      </c>
      <c r="H12" s="142">
        <f t="shared" si="0"/>
        <v>1</v>
      </c>
      <c r="I12" s="142">
        <f t="shared" si="3"/>
        <v>0</v>
      </c>
      <c r="J12" s="142">
        <f t="shared" si="4"/>
        <v>1</v>
      </c>
    </row>
    <row r="13" spans="1:13">
      <c r="E13" s="142">
        <v>12</v>
      </c>
      <c r="F13" s="142">
        <f t="shared" si="1"/>
        <v>0</v>
      </c>
      <c r="G13" s="142">
        <f t="shared" si="2"/>
        <v>0</v>
      </c>
      <c r="H13" s="142">
        <f t="shared" si="0"/>
        <v>1</v>
      </c>
      <c r="I13" s="142">
        <f t="shared" si="3"/>
        <v>0</v>
      </c>
      <c r="J13" s="142">
        <f t="shared" si="4"/>
        <v>1</v>
      </c>
    </row>
    <row r="14" spans="1:13">
      <c r="E14" s="142">
        <v>13</v>
      </c>
      <c r="F14" s="142">
        <f t="shared" si="1"/>
        <v>0</v>
      </c>
      <c r="G14" s="142">
        <f t="shared" si="2"/>
        <v>0</v>
      </c>
      <c r="H14" s="142">
        <f t="shared" si="0"/>
        <v>1</v>
      </c>
      <c r="I14" s="142">
        <f t="shared" si="3"/>
        <v>0</v>
      </c>
      <c r="J14" s="142">
        <f t="shared" si="4"/>
        <v>1</v>
      </c>
    </row>
    <row r="15" spans="1:13">
      <c r="E15" s="142">
        <v>14</v>
      </c>
      <c r="F15" s="142">
        <f t="shared" si="1"/>
        <v>0</v>
      </c>
      <c r="G15" s="142">
        <f t="shared" si="2"/>
        <v>0</v>
      </c>
      <c r="H15" s="142">
        <f t="shared" si="0"/>
        <v>1</v>
      </c>
      <c r="I15" s="142">
        <f t="shared" si="3"/>
        <v>0</v>
      </c>
      <c r="J15" s="142">
        <f t="shared" si="4"/>
        <v>1</v>
      </c>
    </row>
    <row r="16" spans="1:13">
      <c r="E16" s="142">
        <v>15</v>
      </c>
      <c r="F16" s="142">
        <f t="shared" si="1"/>
        <v>0</v>
      </c>
      <c r="G16" s="142">
        <f t="shared" si="2"/>
        <v>0</v>
      </c>
      <c r="H16" s="142">
        <f t="shared" si="0"/>
        <v>1</v>
      </c>
      <c r="I16" s="142">
        <f t="shared" si="3"/>
        <v>0</v>
      </c>
      <c r="J16" s="142">
        <f t="shared" si="4"/>
        <v>1</v>
      </c>
    </row>
    <row r="17" spans="5:10" ht="15.75" thickBot="1">
      <c r="E17" s="142">
        <v>16</v>
      </c>
      <c r="F17" s="142">
        <f t="shared" si="1"/>
        <v>0</v>
      </c>
      <c r="G17" s="147">
        <f t="shared" si="2"/>
        <v>0</v>
      </c>
      <c r="H17" s="142">
        <f t="shared" si="0"/>
        <v>1</v>
      </c>
      <c r="I17" s="142">
        <f t="shared" si="3"/>
        <v>0</v>
      </c>
      <c r="J17" s="147">
        <f t="shared" si="4"/>
        <v>1</v>
      </c>
    </row>
    <row r="18" spans="5:10" ht="15.75" thickBot="1">
      <c r="G18" s="148" t="str">
        <f>CONCATENATE(G17,G16,G15,G14,G13,G12,G11,G10,G9,G8,G7,G6,G5,G4,G3,G2)</f>
        <v>0000001000110111</v>
      </c>
      <c r="J18" s="149" t="str">
        <f>CONCATENATE(J17,J16,J15,J14,J13,J12,J11,J10,J9,J8,J7,J6,J5,J4,J3,J2)</f>
        <v>1111110111001001</v>
      </c>
    </row>
    <row r="19" spans="5:10">
      <c r="G19" s="82"/>
    </row>
  </sheetData>
  <sheetProtection password="C9A7" sheet="1" objects="1" scenarios="1"/>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B1:J18"/>
  <sheetViews>
    <sheetView showGridLines="0" showRowColHeaders="0" workbookViewId="0">
      <selection activeCell="K35" sqref="K35"/>
    </sheetView>
  </sheetViews>
  <sheetFormatPr baseColWidth="10" defaultRowHeight="15"/>
  <cols>
    <col min="2" max="2" width="18.28515625" bestFit="1" customWidth="1"/>
    <col min="3" max="3" width="24.85546875" customWidth="1"/>
    <col min="4" max="4" width="30.28515625" customWidth="1"/>
    <col min="6" max="6" width="17.140625" bestFit="1" customWidth="1"/>
    <col min="10" max="10" width="20" customWidth="1"/>
  </cols>
  <sheetData>
    <row r="1" spans="2:10" ht="15.75" thickBot="1">
      <c r="B1" s="141" t="s">
        <v>269</v>
      </c>
      <c r="C1" s="141" t="s">
        <v>270</v>
      </c>
      <c r="D1" s="141" t="s">
        <v>267</v>
      </c>
      <c r="H1" s="142" t="s">
        <v>262</v>
      </c>
      <c r="I1" s="142" t="s">
        <v>263</v>
      </c>
      <c r="J1" s="142" t="s">
        <v>264</v>
      </c>
    </row>
    <row r="2" spans="2:10" ht="27" thickBot="1">
      <c r="B2" s="514">
        <v>-32767</v>
      </c>
      <c r="C2" s="141">
        <f>POWER(2,16)+B2</f>
        <v>32769</v>
      </c>
      <c r="D2" s="517" t="str">
        <f>J18</f>
        <v>1000000000000001</v>
      </c>
      <c r="H2" s="142">
        <v>1</v>
      </c>
      <c r="I2" s="142">
        <f>C2</f>
        <v>32769</v>
      </c>
      <c r="J2" s="142">
        <f>MOD(I2,2)</f>
        <v>1</v>
      </c>
    </row>
    <row r="3" spans="2:10">
      <c r="D3" s="151"/>
      <c r="H3" s="142">
        <v>2</v>
      </c>
      <c r="I3" s="142">
        <f>INT(I2/2)</f>
        <v>16384</v>
      </c>
      <c r="J3" s="142">
        <f>MOD(I3,2)</f>
        <v>0</v>
      </c>
    </row>
    <row r="4" spans="2:10">
      <c r="B4" t="s">
        <v>268</v>
      </c>
      <c r="H4" s="142">
        <v>3</v>
      </c>
      <c r="I4" s="142">
        <f t="shared" ref="I4:I17" si="0">INT(I3/2)</f>
        <v>8192</v>
      </c>
      <c r="J4" s="142">
        <f t="shared" ref="J4:J17" si="1">MOD(I4,2)</f>
        <v>0</v>
      </c>
    </row>
    <row r="5" spans="2:10">
      <c r="B5" s="144" t="str">
        <f>IF(OR(B2&gt;0,B2&lt;-POWER(2,16-1)),"Conversion impossible","OK")</f>
        <v>OK</v>
      </c>
      <c r="C5" s="145"/>
      <c r="H5" s="142">
        <v>4</v>
      </c>
      <c r="I5" s="142">
        <f t="shared" si="0"/>
        <v>4096</v>
      </c>
      <c r="J5" s="142">
        <f t="shared" si="1"/>
        <v>0</v>
      </c>
    </row>
    <row r="6" spans="2:10">
      <c r="H6" s="142">
        <v>5</v>
      </c>
      <c r="I6" s="142">
        <f t="shared" si="0"/>
        <v>2048</v>
      </c>
      <c r="J6" s="142">
        <f t="shared" si="1"/>
        <v>0</v>
      </c>
    </row>
    <row r="7" spans="2:10" ht="21">
      <c r="B7" s="152" t="s">
        <v>271</v>
      </c>
      <c r="H7" s="142">
        <v>6</v>
      </c>
      <c r="I7" s="142">
        <f t="shared" si="0"/>
        <v>1024</v>
      </c>
      <c r="J7" s="142">
        <f t="shared" si="1"/>
        <v>0</v>
      </c>
    </row>
    <row r="8" spans="2:10">
      <c r="H8" s="142">
        <v>7</v>
      </c>
      <c r="I8" s="142">
        <f t="shared" si="0"/>
        <v>512</v>
      </c>
      <c r="J8" s="142">
        <f t="shared" si="1"/>
        <v>0</v>
      </c>
    </row>
    <row r="9" spans="2:10">
      <c r="H9" s="142">
        <v>8</v>
      </c>
      <c r="I9" s="142">
        <f t="shared" si="0"/>
        <v>256</v>
      </c>
      <c r="J9" s="142">
        <f t="shared" si="1"/>
        <v>0</v>
      </c>
    </row>
    <row r="10" spans="2:10">
      <c r="B10" s="153" t="s">
        <v>275</v>
      </c>
      <c r="H10" s="142">
        <v>9</v>
      </c>
      <c r="I10" s="142">
        <f t="shared" si="0"/>
        <v>128</v>
      </c>
      <c r="J10" s="142">
        <f t="shared" si="1"/>
        <v>0</v>
      </c>
    </row>
    <row r="11" spans="2:10">
      <c r="B11" t="s">
        <v>276</v>
      </c>
      <c r="H11" s="142">
        <v>10</v>
      </c>
      <c r="I11" s="142">
        <f t="shared" si="0"/>
        <v>64</v>
      </c>
      <c r="J11" s="142">
        <f t="shared" si="1"/>
        <v>0</v>
      </c>
    </row>
    <row r="12" spans="2:10">
      <c r="H12" s="142">
        <v>11</v>
      </c>
      <c r="I12" s="142">
        <f t="shared" si="0"/>
        <v>32</v>
      </c>
      <c r="J12" s="142">
        <f t="shared" si="1"/>
        <v>0</v>
      </c>
    </row>
    <row r="13" spans="2:10">
      <c r="H13" s="142">
        <v>12</v>
      </c>
      <c r="I13" s="142">
        <f t="shared" si="0"/>
        <v>16</v>
      </c>
      <c r="J13" s="142">
        <f t="shared" si="1"/>
        <v>0</v>
      </c>
    </row>
    <row r="14" spans="2:10">
      <c r="H14" s="142">
        <v>13</v>
      </c>
      <c r="I14" s="142">
        <f t="shared" si="0"/>
        <v>8</v>
      </c>
      <c r="J14" s="142">
        <f t="shared" si="1"/>
        <v>0</v>
      </c>
    </row>
    <row r="15" spans="2:10">
      <c r="H15" s="142">
        <v>14</v>
      </c>
      <c r="I15" s="142">
        <f t="shared" si="0"/>
        <v>4</v>
      </c>
      <c r="J15" s="142">
        <f t="shared" si="1"/>
        <v>0</v>
      </c>
    </row>
    <row r="16" spans="2:10">
      <c r="H16" s="142">
        <v>15</v>
      </c>
      <c r="I16" s="142">
        <f t="shared" si="0"/>
        <v>2</v>
      </c>
      <c r="J16" s="142">
        <f t="shared" si="1"/>
        <v>0</v>
      </c>
    </row>
    <row r="17" spans="8:10" ht="15.75" thickBot="1">
      <c r="H17" s="142">
        <v>16</v>
      </c>
      <c r="I17" s="142">
        <f t="shared" si="0"/>
        <v>1</v>
      </c>
      <c r="J17" s="147">
        <f t="shared" si="1"/>
        <v>1</v>
      </c>
    </row>
    <row r="18" spans="8:10" ht="15.75" thickBot="1">
      <c r="J18" s="518" t="str">
        <f>CONCATENATE(J17,J16,J15,J14,J13,J12,J11,J10,J9,J8,J7,J6,J5,J4,J3,J2)</f>
        <v>1000000000000001</v>
      </c>
    </row>
  </sheetData>
  <sheetProtection password="C9A7"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6"/>
  <sheetViews>
    <sheetView showGridLines="0" tabSelected="1" workbookViewId="0">
      <selection activeCell="E27" sqref="E27"/>
    </sheetView>
  </sheetViews>
  <sheetFormatPr baseColWidth="10" defaultRowHeight="18"/>
  <cols>
    <col min="1" max="1" width="32" style="99" customWidth="1"/>
    <col min="2" max="2" width="14" style="99" customWidth="1"/>
    <col min="3" max="3" width="42.28515625" style="99" customWidth="1"/>
    <col min="4" max="4" width="11.42578125" style="99"/>
    <col min="5" max="5" width="40.42578125" style="99" customWidth="1"/>
    <col min="6" max="6" width="2" style="99" customWidth="1"/>
    <col min="7" max="8" width="19.42578125" style="403" customWidth="1"/>
    <col min="9" max="16384" width="11.42578125" style="99"/>
  </cols>
  <sheetData>
    <row r="2" spans="1:9" ht="32.25" customHeight="1">
      <c r="B2" s="618" t="s">
        <v>445</v>
      </c>
    </row>
    <row r="4" spans="1:9">
      <c r="G4" s="414" t="s">
        <v>119</v>
      </c>
      <c r="H4" s="414" t="s">
        <v>118</v>
      </c>
    </row>
    <row r="5" spans="1:9" ht="44.25">
      <c r="C5" s="638" t="s">
        <v>167</v>
      </c>
      <c r="E5" s="639" t="s">
        <v>442</v>
      </c>
      <c r="G5" s="404">
        <f>BIN2DEC(G7)</f>
        <v>255</v>
      </c>
      <c r="H5" s="404">
        <f>BIN2DEC(H7)</f>
        <v>255</v>
      </c>
      <c r="I5" s="646">
        <f>H5+(256*G5)</f>
        <v>65535</v>
      </c>
    </row>
    <row r="6" spans="1:9" ht="5.25" customHeight="1"/>
    <row r="7" spans="1:9" s="452" customFormat="1" ht="30" customHeight="1">
      <c r="B7" s="640" t="s">
        <v>440</v>
      </c>
      <c r="C7" s="615">
        <v>65535</v>
      </c>
      <c r="D7" s="645" t="s">
        <v>448</v>
      </c>
      <c r="E7" s="641" t="str">
        <f>DEC2BIN((C7)/256,8)&amp;DEC2BIN(MOD(C7,256),8)</f>
        <v>1111111111111111</v>
      </c>
      <c r="G7" s="642" t="str">
        <f>MID(E7,1,8)</f>
        <v>11111111</v>
      </c>
      <c r="H7" s="642" t="str">
        <f>MID(E7,9,8)</f>
        <v>11111111</v>
      </c>
    </row>
    <row r="8" spans="1:9" s="452" customFormat="1" ht="8.25" customHeight="1">
      <c r="B8" s="640"/>
      <c r="C8" s="99"/>
      <c r="D8" s="99"/>
      <c r="E8" s="99"/>
      <c r="G8" s="642"/>
      <c r="H8" s="642"/>
    </row>
    <row r="9" spans="1:9" s="452" customFormat="1" ht="23.25">
      <c r="B9" s="640"/>
      <c r="C9" s="99"/>
      <c r="D9" s="99"/>
      <c r="E9" s="639" t="s">
        <v>447</v>
      </c>
      <c r="G9" s="642"/>
      <c r="H9" s="642"/>
    </row>
    <row r="10" spans="1:9" s="452" customFormat="1" ht="30" customHeight="1">
      <c r="B10" s="640" t="s">
        <v>446</v>
      </c>
      <c r="C10" s="615">
        <v>58</v>
      </c>
      <c r="D10" s="645" t="s">
        <v>448</v>
      </c>
      <c r="E10" s="641" t="str">
        <f>DEC2HEX(C10)</f>
        <v>3A</v>
      </c>
      <c r="G10" s="642"/>
      <c r="H10" s="642"/>
    </row>
    <row r="11" spans="1:9" s="452" customFormat="1" ht="30" customHeight="1">
      <c r="B11" s="640"/>
      <c r="C11" s="99"/>
      <c r="D11" s="99"/>
      <c r="E11" s="99"/>
      <c r="G11" s="642"/>
      <c r="H11" s="642"/>
    </row>
    <row r="12" spans="1:9" ht="23.25">
      <c r="B12" s="640"/>
      <c r="E12" s="643"/>
    </row>
    <row r="13" spans="1:9">
      <c r="E13" s="639" t="s">
        <v>444</v>
      </c>
    </row>
    <row r="14" spans="1:9" ht="4.5" customHeight="1"/>
    <row r="15" spans="1:9" s="452" customFormat="1" ht="30" customHeight="1">
      <c r="B15" s="640" t="s">
        <v>441</v>
      </c>
      <c r="C15" s="615" t="str">
        <f>E7</f>
        <v>1111111111111111</v>
      </c>
      <c r="D15" s="645" t="s">
        <v>448</v>
      </c>
      <c r="E15" s="641">
        <f ca="1">SUMPRODUCT(1*MID(C15,ROW(INDIRECT("1:"&amp;LEN(C15))),1),2^(LEN(C15)-ROW(INDIRECT("1:"&amp;LEN(C15)))))</f>
        <v>65535</v>
      </c>
      <c r="G15" s="644"/>
      <c r="H15" s="644"/>
    </row>
    <row r="16" spans="1:9" ht="27" customHeight="1">
      <c r="C16" s="621" t="str">
        <f ca="1">IF(E15&gt;65535,"Valeur dépassant la capacité de 16 bits !","")</f>
        <v/>
      </c>
    </row>
  </sheetData>
  <sheetProtection password="C9A7" sheet="1" objects="1" scenarios="1"/>
  <dataValidations disablePrompts="1" count="1">
    <dataValidation type="whole" allowBlank="1" showInputMessage="1" showErrorMessage="1" errorTitle="Valeur EXCESSIVE !" error="Valeur MAX 16 bits = 65535" sqref="C7:C11">
      <formula1>0</formula1>
      <formula2>65535</formula2>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5:N20"/>
  <sheetViews>
    <sheetView workbookViewId="0">
      <selection activeCell="L30" sqref="L30"/>
    </sheetView>
  </sheetViews>
  <sheetFormatPr baseColWidth="10" defaultRowHeight="15"/>
  <cols>
    <col min="6" max="6" width="15.5703125" customWidth="1"/>
    <col min="7" max="14" width="12.42578125" customWidth="1"/>
    <col min="19" max="19" width="11.42578125" customWidth="1"/>
  </cols>
  <sheetData>
    <row r="15" spans="6:14" ht="15.75" thickBot="1"/>
    <row r="16" spans="6:14" ht="31.5" customHeight="1" thickTop="1" thickBot="1">
      <c r="F16" s="823" t="s">
        <v>405</v>
      </c>
      <c r="G16" s="825" t="s">
        <v>406</v>
      </c>
      <c r="H16" s="825"/>
      <c r="I16" s="825"/>
      <c r="J16" s="825"/>
      <c r="K16" s="825"/>
      <c r="L16" s="825"/>
      <c r="M16" s="825"/>
      <c r="N16" s="826"/>
    </row>
    <row r="17" spans="6:14" ht="27" customHeight="1" thickBot="1">
      <c r="F17" s="824"/>
      <c r="G17" s="827" t="s">
        <v>407</v>
      </c>
      <c r="H17" s="827"/>
      <c r="I17" s="827"/>
      <c r="J17" s="827"/>
      <c r="K17" s="828" t="s">
        <v>408</v>
      </c>
      <c r="L17" s="827"/>
      <c r="M17" s="827"/>
      <c r="N17" s="829"/>
    </row>
    <row r="18" spans="6:14" ht="24" thickTop="1">
      <c r="F18" s="551" t="s">
        <v>409</v>
      </c>
      <c r="G18" s="552" t="s">
        <v>410</v>
      </c>
      <c r="H18" s="553" t="s">
        <v>410</v>
      </c>
      <c r="I18" s="553" t="s">
        <v>411</v>
      </c>
      <c r="J18" s="554" t="s">
        <v>412</v>
      </c>
      <c r="K18" s="555" t="s">
        <v>410</v>
      </c>
      <c r="L18" s="553" t="s">
        <v>411</v>
      </c>
      <c r="M18" s="553" t="s">
        <v>412</v>
      </c>
      <c r="N18" s="556" t="s">
        <v>413</v>
      </c>
    </row>
    <row r="19" spans="6:14" ht="24" thickBot="1">
      <c r="F19" s="557" t="s">
        <v>414</v>
      </c>
      <c r="G19" s="558" t="s">
        <v>411</v>
      </c>
      <c r="H19" s="559" t="s">
        <v>413</v>
      </c>
      <c r="I19" s="559" t="s">
        <v>413</v>
      </c>
      <c r="J19" s="560" t="s">
        <v>413</v>
      </c>
      <c r="K19" s="561" t="s">
        <v>34</v>
      </c>
      <c r="L19" s="562" t="s">
        <v>34</v>
      </c>
      <c r="M19" s="562" t="s">
        <v>34</v>
      </c>
      <c r="N19" s="563" t="s">
        <v>34</v>
      </c>
    </row>
    <row r="20" spans="6:14" ht="15.75" thickTop="1"/>
  </sheetData>
  <sheetProtection password="C9A7" sheet="1" objects="1" scenarios="1"/>
  <mergeCells count="4">
    <mergeCell ref="F16:F17"/>
    <mergeCell ref="G16:N16"/>
    <mergeCell ref="G17:J17"/>
    <mergeCell ref="K17:N1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J21"/>
  <sheetViews>
    <sheetView workbookViewId="0">
      <selection activeCell="K32" sqref="K32"/>
    </sheetView>
  </sheetViews>
  <sheetFormatPr baseColWidth="10" defaultRowHeight="15"/>
  <cols>
    <col min="6" max="6" width="29.7109375" customWidth="1"/>
    <col min="7" max="7" width="17" customWidth="1"/>
    <col min="8" max="8" width="19.28515625" customWidth="1"/>
  </cols>
  <sheetData>
    <row r="4" spans="6:10" ht="87.75">
      <c r="J4" s="564" t="s">
        <v>415</v>
      </c>
    </row>
    <row r="7" spans="6:10" ht="15.75" thickBot="1"/>
    <row r="8" spans="6:10" ht="16.5" thickBot="1">
      <c r="F8" s="4" t="s">
        <v>1</v>
      </c>
      <c r="G8" s="4" t="s">
        <v>2</v>
      </c>
      <c r="H8" s="4" t="s">
        <v>3</v>
      </c>
    </row>
    <row r="9" spans="6:10" ht="15.75" thickBot="1">
      <c r="F9" s="1"/>
      <c r="G9" s="1"/>
      <c r="H9" s="1"/>
    </row>
    <row r="10" spans="6:10" ht="19.5" thickBot="1">
      <c r="F10" s="833" t="s">
        <v>50</v>
      </c>
      <c r="G10" s="834"/>
      <c r="H10" s="835"/>
    </row>
    <row r="11" spans="6:10" ht="16.5" thickBot="1">
      <c r="F11" s="5" t="s">
        <v>18</v>
      </c>
      <c r="G11" s="5" t="s">
        <v>19</v>
      </c>
      <c r="H11" s="5" t="s">
        <v>20</v>
      </c>
    </row>
    <row r="12" spans="6:10" ht="15.75" thickBot="1">
      <c r="F12" s="1"/>
      <c r="G12" s="1"/>
      <c r="H12" s="1"/>
    </row>
    <row r="13" spans="6:10" s="512" customFormat="1">
      <c r="F13" s="714" t="s">
        <v>184</v>
      </c>
      <c r="G13" s="715"/>
      <c r="H13" s="716"/>
    </row>
    <row r="14" spans="6:10" s="512" customFormat="1">
      <c r="F14" s="704" t="s">
        <v>185</v>
      </c>
      <c r="G14" s="705"/>
      <c r="H14" s="706"/>
    </row>
    <row r="15" spans="6:10" s="512" customFormat="1">
      <c r="F15" s="704" t="s">
        <v>186</v>
      </c>
      <c r="G15" s="705"/>
      <c r="H15" s="706"/>
    </row>
    <row r="16" spans="6:10" s="512" customFormat="1">
      <c r="F16" s="721" t="s">
        <v>187</v>
      </c>
      <c r="G16" s="722"/>
      <c r="H16" s="723"/>
    </row>
    <row r="17" spans="6:8" s="512" customFormat="1">
      <c r="F17" s="704" t="s">
        <v>416</v>
      </c>
      <c r="G17" s="705"/>
      <c r="H17" s="706"/>
    </row>
    <row r="18" spans="6:8" s="512" customFormat="1">
      <c r="F18" s="704" t="s">
        <v>188</v>
      </c>
      <c r="G18" s="705"/>
      <c r="H18" s="706"/>
    </row>
    <row r="19" spans="6:8" s="512" customFormat="1">
      <c r="F19" s="704" t="s">
        <v>189</v>
      </c>
      <c r="G19" s="705"/>
      <c r="H19" s="706"/>
    </row>
    <row r="20" spans="6:8" s="512" customFormat="1" ht="15.75" thickBot="1">
      <c r="F20" s="830" t="s">
        <v>190</v>
      </c>
      <c r="G20" s="831"/>
      <c r="H20" s="832"/>
    </row>
    <row r="21" spans="6:8" ht="15.75" thickTop="1"/>
  </sheetData>
  <sheetProtection password="C9A7" sheet="1" objects="1" scenarios="1"/>
  <mergeCells count="9">
    <mergeCell ref="F18:H18"/>
    <mergeCell ref="F19:H19"/>
    <mergeCell ref="F20:H20"/>
    <mergeCell ref="F10:H10"/>
    <mergeCell ref="F13:H13"/>
    <mergeCell ref="F14:H14"/>
    <mergeCell ref="F15:H15"/>
    <mergeCell ref="F16:H16"/>
    <mergeCell ref="F17:H1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pageSetUpPr fitToPage="1"/>
  </sheetPr>
  <dimension ref="A1:S33"/>
  <sheetViews>
    <sheetView showGridLines="0" workbookViewId="0">
      <selection activeCell="C5" sqref="C5"/>
    </sheetView>
  </sheetViews>
  <sheetFormatPr baseColWidth="10" defaultRowHeight="15"/>
  <cols>
    <col min="1" max="1" width="2.85546875" customWidth="1"/>
    <col min="2" max="2" width="13.42578125" customWidth="1"/>
    <col min="3" max="3" width="43.140625" customWidth="1"/>
    <col min="4" max="5" width="16" customWidth="1"/>
    <col min="6" max="6" width="34.7109375" customWidth="1"/>
    <col min="7" max="9" width="18.42578125" customWidth="1"/>
    <col min="10" max="10" width="19.7109375" bestFit="1" customWidth="1"/>
    <col min="11" max="11" width="1.7109375" customWidth="1"/>
    <col min="12" max="14" width="10.5703125" customWidth="1"/>
    <col min="15" max="15" width="17.28515625" bestFit="1" customWidth="1"/>
    <col min="16" max="16" width="16.28515625" bestFit="1" customWidth="1"/>
    <col min="17" max="17" width="17.42578125" bestFit="1" customWidth="1"/>
    <col min="18" max="19" width="21.85546875" customWidth="1"/>
    <col min="20" max="20" width="2" customWidth="1"/>
  </cols>
  <sheetData>
    <row r="1" spans="1:19">
      <c r="A1" s="137"/>
    </row>
    <row r="2" spans="1:19" ht="35.25">
      <c r="B2" s="138"/>
      <c r="C2" s="114" t="s">
        <v>166</v>
      </c>
      <c r="G2" s="129" t="s">
        <v>183</v>
      </c>
    </row>
    <row r="4" spans="1:19" ht="21">
      <c r="C4" s="109" t="s">
        <v>164</v>
      </c>
    </row>
    <row r="5" spans="1:19" ht="59.25">
      <c r="B5" s="112" t="s">
        <v>165</v>
      </c>
      <c r="C5" s="140" t="s">
        <v>464</v>
      </c>
      <c r="D5" s="139"/>
      <c r="E5" s="139"/>
      <c r="F5" s="115" t="s">
        <v>167</v>
      </c>
    </row>
    <row r="7" spans="1:19" ht="15.75" thickBot="1">
      <c r="C7" s="118">
        <v>128</v>
      </c>
      <c r="D7" s="118">
        <v>64</v>
      </c>
      <c r="E7" s="118">
        <v>32</v>
      </c>
      <c r="F7" s="118">
        <v>16</v>
      </c>
      <c r="G7" s="118">
        <v>8</v>
      </c>
      <c r="H7" s="118">
        <v>4</v>
      </c>
      <c r="I7" s="118">
        <v>2</v>
      </c>
      <c r="J7" s="118">
        <v>1</v>
      </c>
      <c r="L7" s="118">
        <v>128</v>
      </c>
      <c r="M7" s="118">
        <v>64</v>
      </c>
      <c r="N7" s="118">
        <v>32</v>
      </c>
      <c r="O7" s="118">
        <v>16</v>
      </c>
      <c r="P7" s="118">
        <v>8</v>
      </c>
      <c r="Q7" s="118">
        <v>4</v>
      </c>
      <c r="R7" s="118">
        <v>2</v>
      </c>
      <c r="S7" s="118">
        <v>1</v>
      </c>
    </row>
    <row r="8" spans="1:19" ht="16.5" thickBot="1">
      <c r="C8" s="4" t="s">
        <v>0</v>
      </c>
      <c r="D8" s="4" t="s">
        <v>1</v>
      </c>
      <c r="E8" s="4" t="s">
        <v>2</v>
      </c>
      <c r="F8" s="4" t="s">
        <v>3</v>
      </c>
      <c r="G8" s="4" t="s">
        <v>4</v>
      </c>
      <c r="H8" s="4" t="s">
        <v>5</v>
      </c>
      <c r="I8" s="4" t="s">
        <v>6</v>
      </c>
      <c r="J8" s="4" t="s">
        <v>7</v>
      </c>
      <c r="K8" s="63"/>
      <c r="L8" s="4" t="s">
        <v>8</v>
      </c>
      <c r="M8" s="4" t="s">
        <v>9</v>
      </c>
      <c r="N8" s="4" t="s">
        <v>10</v>
      </c>
      <c r="O8" s="4" t="s">
        <v>11</v>
      </c>
      <c r="P8" s="4" t="s">
        <v>12</v>
      </c>
      <c r="Q8" s="4" t="s">
        <v>13</v>
      </c>
      <c r="R8" s="4" t="s">
        <v>14</v>
      </c>
      <c r="S8" s="4" t="s">
        <v>15</v>
      </c>
    </row>
    <row r="9" spans="1:19" ht="6.75" customHeight="1" thickBot="1">
      <c r="C9" s="1"/>
      <c r="D9" s="1"/>
      <c r="E9" s="1"/>
      <c r="F9" s="1"/>
      <c r="G9" s="1"/>
      <c r="H9" s="1"/>
      <c r="I9" s="1"/>
      <c r="J9" s="1"/>
      <c r="K9" s="64"/>
      <c r="L9" s="1"/>
      <c r="M9" s="1"/>
      <c r="N9" s="1"/>
      <c r="O9" s="1"/>
      <c r="P9" s="1"/>
      <c r="Q9" s="1"/>
      <c r="R9" s="1"/>
      <c r="S9" s="1"/>
    </row>
    <row r="10" spans="1:19" ht="36" customHeight="1" thickBot="1">
      <c r="C10" s="9" t="s">
        <v>48</v>
      </c>
      <c r="D10" s="694" t="s">
        <v>50</v>
      </c>
      <c r="E10" s="692"/>
      <c r="F10" s="696"/>
      <c r="G10" s="694" t="s">
        <v>49</v>
      </c>
      <c r="H10" s="692"/>
      <c r="I10" s="696"/>
      <c r="J10" s="9" t="s">
        <v>51</v>
      </c>
      <c r="K10" s="66"/>
      <c r="L10" s="694" t="s">
        <v>52</v>
      </c>
      <c r="M10" s="692"/>
      <c r="N10" s="696"/>
      <c r="O10" s="9" t="s">
        <v>53</v>
      </c>
      <c r="P10" s="9" t="s">
        <v>54</v>
      </c>
      <c r="Q10" s="9" t="s">
        <v>55</v>
      </c>
      <c r="R10" s="694" t="s">
        <v>56</v>
      </c>
      <c r="S10" s="696"/>
    </row>
    <row r="11" spans="1:19" ht="16.5" thickBot="1">
      <c r="C11" s="110" t="s">
        <v>17</v>
      </c>
      <c r="D11" s="110" t="s">
        <v>18</v>
      </c>
      <c r="E11" s="110" t="s">
        <v>19</v>
      </c>
      <c r="F11" s="110" t="s">
        <v>20</v>
      </c>
      <c r="G11" s="110" t="s">
        <v>21</v>
      </c>
      <c r="H11" s="110" t="s">
        <v>22</v>
      </c>
      <c r="I11" s="110" t="s">
        <v>23</v>
      </c>
      <c r="J11" s="110" t="s">
        <v>24</v>
      </c>
      <c r="K11" s="63"/>
      <c r="L11" s="110" t="s">
        <v>25</v>
      </c>
      <c r="M11" s="110" t="s">
        <v>26</v>
      </c>
      <c r="N11" s="110" t="s">
        <v>27</v>
      </c>
      <c r="O11" s="110" t="s">
        <v>28</v>
      </c>
      <c r="P11" s="110" t="s">
        <v>29</v>
      </c>
      <c r="Q11" s="110" t="s">
        <v>30</v>
      </c>
      <c r="R11" s="110" t="s">
        <v>31</v>
      </c>
      <c r="S11" s="110" t="s">
        <v>32</v>
      </c>
    </row>
    <row r="12" spans="1:19" ht="5.25" customHeight="1" thickBot="1">
      <c r="C12" s="1"/>
      <c r="D12" s="1"/>
      <c r="E12" s="1"/>
      <c r="F12" s="1"/>
      <c r="G12" s="1"/>
      <c r="H12" s="1"/>
      <c r="I12" s="1"/>
      <c r="J12" s="1"/>
      <c r="K12" s="64"/>
      <c r="L12" s="1"/>
      <c r="M12" s="1"/>
      <c r="N12" s="1"/>
      <c r="O12" s="1"/>
      <c r="P12" s="1"/>
      <c r="Q12" s="1"/>
      <c r="R12" s="1"/>
      <c r="S12" s="1"/>
    </row>
    <row r="13" spans="1:19" ht="32.25" customHeight="1" thickBot="1">
      <c r="C13" s="107" t="str">
        <f>MID($C$5,12,1)</f>
        <v>1</v>
      </c>
      <c r="D13" s="107" t="str">
        <f>MID($C$5,13,1)</f>
        <v>0</v>
      </c>
      <c r="E13" s="107" t="str">
        <f>MID($C$5,14,1)</f>
        <v>0</v>
      </c>
      <c r="F13" s="107" t="str">
        <f>MID($C$5,15,1)</f>
        <v>0</v>
      </c>
      <c r="G13" s="107" t="str">
        <f>MID($C$5,16,1)</f>
        <v>0</v>
      </c>
      <c r="H13" s="107" t="str">
        <f>MID($C$5,17,1)</f>
        <v>0</v>
      </c>
      <c r="I13" s="107" t="str">
        <f>MID($C$5,18,1)</f>
        <v>1</v>
      </c>
      <c r="J13" s="107" t="str">
        <f>MID($C$5,19,1)</f>
        <v>0</v>
      </c>
      <c r="K13" s="108"/>
      <c r="L13" s="107" t="str">
        <f>MID($C$5,22,1)</f>
        <v>1</v>
      </c>
      <c r="M13" s="107" t="str">
        <f>MID($C$5,23,1)</f>
        <v>0</v>
      </c>
      <c r="N13" s="107" t="str">
        <f>MID($C$5,24,1)</f>
        <v>0</v>
      </c>
      <c r="O13" s="107" t="str">
        <f>MID($C$5,25,1)</f>
        <v>0</v>
      </c>
      <c r="P13" s="107" t="str">
        <f>MID($C$5,26,1)</f>
        <v>0</v>
      </c>
      <c r="Q13" s="107" t="str">
        <f>MID($C$5,27,1)</f>
        <v>0</v>
      </c>
      <c r="R13" s="107" t="str">
        <f>MID($C$5,28,1)</f>
        <v>1</v>
      </c>
      <c r="S13" s="107" t="str">
        <f>MID($C$5,29,1)</f>
        <v>1</v>
      </c>
    </row>
    <row r="14" spans="1:19">
      <c r="C14" s="113" t="s">
        <v>162</v>
      </c>
      <c r="D14" s="714" t="s">
        <v>184</v>
      </c>
      <c r="E14" s="715"/>
      <c r="F14" s="716"/>
      <c r="G14" s="688" t="s">
        <v>108</v>
      </c>
      <c r="H14" s="689"/>
      <c r="I14" s="690"/>
      <c r="J14" s="75" t="s">
        <v>120</v>
      </c>
      <c r="K14" s="67"/>
      <c r="L14" s="719" t="s">
        <v>99</v>
      </c>
      <c r="M14" s="689"/>
      <c r="N14" s="690"/>
      <c r="O14" s="58" t="s">
        <v>75</v>
      </c>
      <c r="P14" s="58" t="s">
        <v>69</v>
      </c>
      <c r="Q14" s="58" t="s">
        <v>71</v>
      </c>
      <c r="R14" s="717" t="s">
        <v>95</v>
      </c>
      <c r="S14" s="718"/>
    </row>
    <row r="15" spans="1:19">
      <c r="C15" s="20" t="s">
        <v>57</v>
      </c>
      <c r="D15" s="704" t="s">
        <v>185</v>
      </c>
      <c r="E15" s="705"/>
      <c r="F15" s="706"/>
      <c r="G15" s="750" t="s">
        <v>110</v>
      </c>
      <c r="H15" s="751"/>
      <c r="I15" s="752"/>
      <c r="J15" s="76" t="s">
        <v>65</v>
      </c>
      <c r="K15" s="68"/>
      <c r="L15" s="700" t="s">
        <v>100</v>
      </c>
      <c r="M15" s="698"/>
      <c r="N15" s="699"/>
      <c r="O15" s="59" t="s">
        <v>76</v>
      </c>
      <c r="P15" s="59" t="s">
        <v>68</v>
      </c>
      <c r="Q15" s="57" t="s">
        <v>74</v>
      </c>
      <c r="R15" s="707" t="s">
        <v>96</v>
      </c>
      <c r="S15" s="708"/>
    </row>
    <row r="16" spans="1:19">
      <c r="C16" s="20" t="s">
        <v>58</v>
      </c>
      <c r="D16" s="704" t="s">
        <v>186</v>
      </c>
      <c r="E16" s="705"/>
      <c r="F16" s="706"/>
      <c r="G16" s="750" t="s">
        <v>152</v>
      </c>
      <c r="H16" s="751"/>
      <c r="I16" s="752"/>
      <c r="J16" s="76"/>
      <c r="K16" s="68"/>
      <c r="L16" s="700" t="s">
        <v>101</v>
      </c>
      <c r="M16" s="698"/>
      <c r="N16" s="699"/>
      <c r="O16" s="57" t="s">
        <v>77</v>
      </c>
      <c r="P16" s="27"/>
      <c r="Q16" s="59" t="s">
        <v>68</v>
      </c>
      <c r="R16" s="707" t="s">
        <v>97</v>
      </c>
      <c r="S16" s="708"/>
    </row>
    <row r="17" spans="3:19" ht="15.75" thickBot="1">
      <c r="C17" s="20" t="s">
        <v>59</v>
      </c>
      <c r="D17" s="721" t="s">
        <v>187</v>
      </c>
      <c r="E17" s="722"/>
      <c r="F17" s="723"/>
      <c r="G17" s="750" t="s">
        <v>112</v>
      </c>
      <c r="H17" s="751"/>
      <c r="I17" s="752"/>
      <c r="J17" s="77" t="s">
        <v>66</v>
      </c>
      <c r="K17" s="69"/>
      <c r="L17" s="700" t="s">
        <v>102</v>
      </c>
      <c r="M17" s="698"/>
      <c r="N17" s="699"/>
      <c r="O17" s="59" t="s">
        <v>68</v>
      </c>
      <c r="P17" s="32"/>
      <c r="Q17" s="27"/>
      <c r="R17" s="712" t="s">
        <v>98</v>
      </c>
      <c r="S17" s="713"/>
    </row>
    <row r="18" spans="3:19">
      <c r="C18" s="19" t="s">
        <v>163</v>
      </c>
      <c r="D18" s="753" t="s">
        <v>205</v>
      </c>
      <c r="E18" s="754"/>
      <c r="F18" s="755"/>
      <c r="G18" s="750" t="s">
        <v>113</v>
      </c>
      <c r="H18" s="751"/>
      <c r="I18" s="752"/>
      <c r="J18" s="78" t="s">
        <v>67</v>
      </c>
      <c r="K18" s="70"/>
      <c r="L18" s="720" t="s">
        <v>103</v>
      </c>
      <c r="M18" s="710"/>
      <c r="N18" s="711"/>
      <c r="O18" s="28"/>
      <c r="P18" s="32"/>
      <c r="Q18" s="32"/>
      <c r="R18" s="11"/>
      <c r="S18" s="14"/>
    </row>
    <row r="19" spans="3:19">
      <c r="C19" s="20" t="s">
        <v>62</v>
      </c>
      <c r="D19" s="753" t="s">
        <v>188</v>
      </c>
      <c r="E19" s="754"/>
      <c r="F19" s="755"/>
      <c r="G19" s="750" t="s">
        <v>114</v>
      </c>
      <c r="H19" s="751"/>
      <c r="I19" s="752"/>
      <c r="J19" s="79" t="s">
        <v>68</v>
      </c>
      <c r="K19" s="71"/>
      <c r="L19" s="700" t="s">
        <v>104</v>
      </c>
      <c r="M19" s="698"/>
      <c r="N19" s="699"/>
      <c r="O19" s="28" t="s">
        <v>78</v>
      </c>
      <c r="P19" s="27" t="s">
        <v>70</v>
      </c>
      <c r="Q19" s="28" t="s">
        <v>73</v>
      </c>
      <c r="R19" s="11"/>
      <c r="S19" s="14"/>
    </row>
    <row r="20" spans="3:19">
      <c r="C20" s="20" t="s">
        <v>63</v>
      </c>
      <c r="D20" s="753" t="s">
        <v>189</v>
      </c>
      <c r="E20" s="754"/>
      <c r="F20" s="755"/>
      <c r="G20" s="750" t="s">
        <v>115</v>
      </c>
      <c r="H20" s="751"/>
      <c r="I20" s="752"/>
      <c r="J20" s="80"/>
      <c r="K20" s="67"/>
      <c r="L20" s="700" t="s">
        <v>105</v>
      </c>
      <c r="M20" s="698"/>
      <c r="N20" s="699"/>
      <c r="O20" s="28" t="s">
        <v>72</v>
      </c>
      <c r="P20" s="28"/>
      <c r="Q20" s="28" t="s">
        <v>74</v>
      </c>
      <c r="R20" s="11"/>
      <c r="S20" s="14"/>
    </row>
    <row r="21" spans="3:19">
      <c r="C21" s="20" t="s">
        <v>64</v>
      </c>
      <c r="D21" s="753" t="s">
        <v>190</v>
      </c>
      <c r="E21" s="754"/>
      <c r="F21" s="755"/>
      <c r="G21" s="750" t="s">
        <v>116</v>
      </c>
      <c r="H21" s="751"/>
      <c r="I21" s="752"/>
      <c r="J21" s="80"/>
      <c r="K21" s="67"/>
      <c r="L21" s="700" t="s">
        <v>106</v>
      </c>
      <c r="M21" s="698"/>
      <c r="N21" s="699"/>
      <c r="O21" s="28"/>
      <c r="P21" s="28"/>
      <c r="Q21" s="28"/>
      <c r="R21" s="11"/>
      <c r="S21" s="14"/>
    </row>
    <row r="22" spans="3:19" ht="15.75" thickBot="1">
      <c r="C22" s="22" t="s">
        <v>63</v>
      </c>
      <c r="D22" s="24"/>
      <c r="E22" s="13"/>
      <c r="F22" s="25"/>
      <c r="G22" s="60"/>
      <c r="H22" s="111" t="s">
        <v>161</v>
      </c>
      <c r="I22" s="25"/>
      <c r="J22" s="81"/>
      <c r="K22" s="73"/>
      <c r="L22" s="701"/>
      <c r="M22" s="702"/>
      <c r="N22" s="703"/>
      <c r="O22" s="30"/>
      <c r="P22" s="30"/>
      <c r="Q22" s="30"/>
      <c r="R22" s="13"/>
      <c r="S22" s="16"/>
    </row>
    <row r="23" spans="3:19" ht="6.75" customHeight="1"/>
    <row r="24" spans="3:19" s="46" customFormat="1" hidden="1">
      <c r="E24" s="120" t="str">
        <f>CONCATENATE(D13,E13,F13)</f>
        <v>000</v>
      </c>
      <c r="H24" s="120" t="str">
        <f>CONCATENATE(G13,H13,I13)</f>
        <v>001</v>
      </c>
      <c r="M24" s="120" t="str">
        <f>CONCATENATE(L13,M13,N13)</f>
        <v>100</v>
      </c>
      <c r="O24" s="120" t="str">
        <f>O13</f>
        <v>0</v>
      </c>
      <c r="P24" s="120" t="str">
        <f>P13</f>
        <v>0</v>
      </c>
      <c r="Q24" s="120" t="str">
        <f>Q13</f>
        <v>0</v>
      </c>
      <c r="R24" s="120" t="str">
        <f>CONCATENATE(R13,S13)</f>
        <v>11</v>
      </c>
    </row>
    <row r="25" spans="3:19" hidden="1">
      <c r="C25" s="98">
        <f t="shared" ref="C25:E25" si="0">C7*C13</f>
        <v>128</v>
      </c>
      <c r="D25" s="98">
        <f t="shared" si="0"/>
        <v>0</v>
      </c>
      <c r="E25" s="98">
        <f t="shared" si="0"/>
        <v>0</v>
      </c>
      <c r="F25" s="98">
        <f>F7*F13</f>
        <v>0</v>
      </c>
      <c r="G25" s="98">
        <f>G7*G13</f>
        <v>0</v>
      </c>
      <c r="H25" s="98">
        <f>H7*H13</f>
        <v>0</v>
      </c>
      <c r="I25" s="98">
        <f>I7*I13</f>
        <v>2</v>
      </c>
      <c r="J25" s="98">
        <f>J7*J13</f>
        <v>0</v>
      </c>
      <c r="L25" s="98">
        <f t="shared" ref="L25:N25" si="1">L7*L13</f>
        <v>128</v>
      </c>
      <c r="M25" s="98">
        <f t="shared" si="1"/>
        <v>0</v>
      </c>
      <c r="N25" s="98">
        <f t="shared" si="1"/>
        <v>0</v>
      </c>
      <c r="O25" s="98">
        <f>O7*O13</f>
        <v>0</v>
      </c>
      <c r="P25" s="98">
        <f>P7*P13</f>
        <v>0</v>
      </c>
      <c r="Q25" s="98">
        <f>Q7*Q13</f>
        <v>0</v>
      </c>
      <c r="R25" s="98">
        <f>R7*R13</f>
        <v>2</v>
      </c>
      <c r="S25" s="98">
        <f>S7*S13</f>
        <v>1</v>
      </c>
    </row>
    <row r="26" spans="3:19" ht="6" customHeight="1"/>
    <row r="27" spans="3:19" ht="24.75" customHeight="1">
      <c r="C27" s="758">
        <f>SUM(C25:J25)</f>
        <v>130</v>
      </c>
      <c r="D27" s="758"/>
      <c r="E27" s="758"/>
      <c r="F27" s="758"/>
      <c r="G27" s="758"/>
      <c r="H27" s="758"/>
      <c r="I27" s="758"/>
      <c r="J27" s="758"/>
      <c r="L27" s="758">
        <f>SUM(L25:S25)</f>
        <v>131</v>
      </c>
      <c r="M27" s="758"/>
      <c r="N27" s="758"/>
      <c r="O27" s="758"/>
      <c r="P27" s="758"/>
      <c r="Q27" s="758"/>
      <c r="R27" s="758"/>
      <c r="S27" s="758"/>
    </row>
    <row r="28" spans="3:19" ht="6.75" customHeight="1"/>
    <row r="29" spans="3:19" ht="21">
      <c r="D29" s="756">
        <f>SUM(D25:J25)</f>
        <v>2</v>
      </c>
      <c r="E29" s="757"/>
      <c r="F29" s="757"/>
      <c r="G29" s="757"/>
      <c r="H29" s="757"/>
      <c r="I29" s="757"/>
      <c r="J29" s="757"/>
      <c r="L29" s="758">
        <f>SUM(L27:S27)</f>
        <v>131</v>
      </c>
      <c r="M29" s="758"/>
      <c r="N29" s="758"/>
      <c r="O29" s="758"/>
      <c r="P29" s="758"/>
      <c r="Q29" s="758"/>
      <c r="R29" s="758"/>
      <c r="S29" s="758"/>
    </row>
    <row r="33" spans="8:8">
      <c r="H33" s="130"/>
    </row>
  </sheetData>
  <sheetProtection password="C9A7" sheet="1" objects="1" scenarios="1" selectLockedCells="1"/>
  <mergeCells count="37">
    <mergeCell ref="D29:J29"/>
    <mergeCell ref="L29:S29"/>
    <mergeCell ref="D21:F21"/>
    <mergeCell ref="G21:I21"/>
    <mergeCell ref="L21:N21"/>
    <mergeCell ref="L22:N22"/>
    <mergeCell ref="C27:J27"/>
    <mergeCell ref="L27:S27"/>
    <mergeCell ref="D17:F17"/>
    <mergeCell ref="G17:I17"/>
    <mergeCell ref="L17:N17"/>
    <mergeCell ref="R17:S17"/>
    <mergeCell ref="D18:F18"/>
    <mergeCell ref="G18:I18"/>
    <mergeCell ref="L18:N18"/>
    <mergeCell ref="D19:F19"/>
    <mergeCell ref="G19:I19"/>
    <mergeCell ref="L19:N19"/>
    <mergeCell ref="D20:F20"/>
    <mergeCell ref="G20:I20"/>
    <mergeCell ref="L20:N20"/>
    <mergeCell ref="D15:F15"/>
    <mergeCell ref="G15:I15"/>
    <mergeCell ref="L15:N15"/>
    <mergeCell ref="R15:S15"/>
    <mergeCell ref="D16:F16"/>
    <mergeCell ref="G16:I16"/>
    <mergeCell ref="L16:N16"/>
    <mergeCell ref="R16:S16"/>
    <mergeCell ref="D10:F10"/>
    <mergeCell ref="G10:I10"/>
    <mergeCell ref="L10:N10"/>
    <mergeCell ref="R10:S10"/>
    <mergeCell ref="D14:F14"/>
    <mergeCell ref="G14:I14"/>
    <mergeCell ref="L14:N14"/>
    <mergeCell ref="R14:S14"/>
  </mergeCells>
  <conditionalFormatting sqref="D18:F18">
    <cfRule type="expression" dxfId="79" priority="49">
      <formula>$E$24="100"</formula>
    </cfRule>
  </conditionalFormatting>
  <conditionalFormatting sqref="D19">
    <cfRule type="expression" dxfId="78" priority="48">
      <formula>$E$24="101"</formula>
    </cfRule>
  </conditionalFormatting>
  <conditionalFormatting sqref="D17:F17">
    <cfRule type="expression" dxfId="77" priority="47">
      <formula>$E$24="011"</formula>
    </cfRule>
  </conditionalFormatting>
  <conditionalFormatting sqref="D16:F16">
    <cfRule type="expression" dxfId="76" priority="46">
      <formula>$E$24="010"</formula>
    </cfRule>
  </conditionalFormatting>
  <conditionalFormatting sqref="D15:F15">
    <cfRule type="expression" dxfId="75" priority="45">
      <formula>$E$24="001"</formula>
    </cfRule>
  </conditionalFormatting>
  <conditionalFormatting sqref="D14:F14">
    <cfRule type="expression" dxfId="74" priority="44">
      <formula>$E$24="000"</formula>
    </cfRule>
  </conditionalFormatting>
  <conditionalFormatting sqref="D20">
    <cfRule type="expression" dxfId="73" priority="43">
      <formula>$E$24="110"</formula>
    </cfRule>
  </conditionalFormatting>
  <conditionalFormatting sqref="D21">
    <cfRule type="expression" dxfId="72" priority="42">
      <formula>$E$24="111"</formula>
    </cfRule>
  </conditionalFormatting>
  <conditionalFormatting sqref="G14:I14">
    <cfRule type="expression" dxfId="71" priority="41">
      <formula>$H$24="000"</formula>
    </cfRule>
  </conditionalFormatting>
  <conditionalFormatting sqref="G15:I15">
    <cfRule type="expression" dxfId="70" priority="40">
      <formula>$H$24="001"</formula>
    </cfRule>
  </conditionalFormatting>
  <conditionalFormatting sqref="G17:I17">
    <cfRule type="expression" dxfId="69" priority="39">
      <formula>$H$24="011"</formula>
    </cfRule>
  </conditionalFormatting>
  <conditionalFormatting sqref="G18:I18">
    <cfRule type="expression" dxfId="68" priority="38">
      <formula>$H$24="100"</formula>
    </cfRule>
  </conditionalFormatting>
  <conditionalFormatting sqref="G19:I19">
    <cfRule type="expression" dxfId="67" priority="37">
      <formula>$H$24="101"</formula>
    </cfRule>
  </conditionalFormatting>
  <conditionalFormatting sqref="G20:I20">
    <cfRule type="expression" dxfId="66" priority="36">
      <formula>$H$24="110"</formula>
    </cfRule>
  </conditionalFormatting>
  <conditionalFormatting sqref="G21:I21">
    <cfRule type="expression" dxfId="65" priority="35">
      <formula>$H$24="111"</formula>
    </cfRule>
  </conditionalFormatting>
  <conditionalFormatting sqref="R14:S14">
    <cfRule type="expression" dxfId="64" priority="34">
      <formula>$R$24="00"</formula>
    </cfRule>
  </conditionalFormatting>
  <conditionalFormatting sqref="R15:S15">
    <cfRule type="expression" dxfId="63" priority="33">
      <formula>$R$24="01"</formula>
    </cfRule>
  </conditionalFormatting>
  <conditionalFormatting sqref="R16:S16">
    <cfRule type="expression" dxfId="62" priority="31">
      <formula>$R$24="10"</formula>
    </cfRule>
  </conditionalFormatting>
  <conditionalFormatting sqref="R17:S17">
    <cfRule type="expression" dxfId="61" priority="30">
      <formula>$R$24="11"</formula>
    </cfRule>
  </conditionalFormatting>
  <conditionalFormatting sqref="J14:J15">
    <cfRule type="expression" dxfId="60" priority="29">
      <formula>$J$13="0"</formula>
    </cfRule>
  </conditionalFormatting>
  <conditionalFormatting sqref="J17:J19">
    <cfRule type="expression" dxfId="59" priority="28">
      <formula>$J$13="1"</formula>
    </cfRule>
  </conditionalFormatting>
  <conditionalFormatting sqref="L14:N14">
    <cfRule type="expression" dxfId="58" priority="27">
      <formula>$M$24="000"</formula>
    </cfRule>
  </conditionalFormatting>
  <conditionalFormatting sqref="L15:N15">
    <cfRule type="expression" dxfId="57" priority="26">
      <formula>$M$24="001"</formula>
    </cfRule>
  </conditionalFormatting>
  <conditionalFormatting sqref="L16:N16">
    <cfRule type="expression" dxfId="56" priority="25">
      <formula>$M$24="010"</formula>
    </cfRule>
  </conditionalFormatting>
  <conditionalFormatting sqref="L17:N17">
    <cfRule type="expression" dxfId="55" priority="24">
      <formula>$M$24="011"</formula>
    </cfRule>
  </conditionalFormatting>
  <conditionalFormatting sqref="L18:N18">
    <cfRule type="expression" dxfId="54" priority="23">
      <formula>$M$24="100"</formula>
    </cfRule>
  </conditionalFormatting>
  <conditionalFormatting sqref="L19:N19">
    <cfRule type="expression" dxfId="53" priority="22">
      <formula>$M$24="101"</formula>
    </cfRule>
  </conditionalFormatting>
  <conditionalFormatting sqref="L20:N20">
    <cfRule type="expression" dxfId="52" priority="21">
      <formula>$M$24="110"</formula>
    </cfRule>
  </conditionalFormatting>
  <conditionalFormatting sqref="L21:N21">
    <cfRule type="expression" dxfId="51" priority="20">
      <formula>$M$24="111"</formula>
    </cfRule>
  </conditionalFormatting>
  <conditionalFormatting sqref="O14:O17">
    <cfRule type="expression" dxfId="50" priority="19">
      <formula>$O$13="0"</formula>
    </cfRule>
  </conditionalFormatting>
  <conditionalFormatting sqref="O19:O20">
    <cfRule type="expression" dxfId="49" priority="18">
      <formula>$O$13="1"</formula>
    </cfRule>
  </conditionalFormatting>
  <conditionalFormatting sqref="P14:P15">
    <cfRule type="expression" dxfId="48" priority="17">
      <formula>$P$13="0"</formula>
    </cfRule>
  </conditionalFormatting>
  <conditionalFormatting sqref="P19">
    <cfRule type="expression" dxfId="47" priority="16">
      <formula>$P$13="1"</formula>
    </cfRule>
  </conditionalFormatting>
  <conditionalFormatting sqref="Q14:Q16">
    <cfRule type="expression" dxfId="46" priority="15">
      <formula>$Q$13="0"</formula>
    </cfRule>
  </conditionalFormatting>
  <conditionalFormatting sqref="Q19:Q20">
    <cfRule type="expression" dxfId="45" priority="14">
      <formula>$Q$13="1"</formula>
    </cfRule>
  </conditionalFormatting>
  <conditionalFormatting sqref="C15">
    <cfRule type="expression" dxfId="44" priority="3">
      <formula>$C$13="0"</formula>
    </cfRule>
  </conditionalFormatting>
  <conditionalFormatting sqref="C16:C17">
    <cfRule type="expression" dxfId="43" priority="2">
      <formula>$C$13="1"</formula>
    </cfRule>
  </conditionalFormatting>
  <conditionalFormatting sqref="G16:I16">
    <cfRule type="expression" dxfId="42" priority="1">
      <formula>$H$24="010"</formula>
    </cfRule>
  </conditionalFormatting>
  <pageMargins left="0.14000000000000001" right="0.15" top="0.25" bottom="0.23" header="0.16" footer="0.14000000000000001"/>
  <pageSetup paperSize="9" scale="44"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6"/>
  <dimension ref="A1:R57"/>
  <sheetViews>
    <sheetView showGridLines="0" zoomScaleNormal="100" workbookViewId="0">
      <selection activeCell="P28" sqref="P28"/>
    </sheetView>
  </sheetViews>
  <sheetFormatPr baseColWidth="10" defaultRowHeight="15"/>
  <cols>
    <col min="1" max="1" width="4.7109375" style="160" customWidth="1"/>
    <col min="2" max="2" width="13.28515625" style="160" customWidth="1"/>
    <col min="3" max="3" width="16.85546875" style="160" customWidth="1"/>
    <col min="4" max="4" width="20.7109375" style="160" customWidth="1"/>
    <col min="5" max="5" width="18.5703125" style="160" customWidth="1"/>
    <col min="6" max="6" width="17.7109375" style="160" customWidth="1"/>
    <col min="7" max="7" width="17.42578125" style="160" customWidth="1"/>
    <col min="8" max="8" width="13" style="160" customWidth="1"/>
    <col min="9" max="9" width="13.28515625" style="160" customWidth="1"/>
    <col min="10" max="10" width="11.42578125" style="160"/>
    <col min="11" max="11" width="7.28515625" style="160" hidden="1" customWidth="1"/>
    <col min="12" max="12" width="11.42578125" style="160"/>
    <col min="13" max="13" width="15.42578125" style="160" customWidth="1"/>
    <col min="14" max="14" width="15.5703125" style="160" customWidth="1"/>
    <col min="15" max="15" width="32.28515625" style="160" bestFit="1" customWidth="1"/>
    <col min="16" max="16" width="18.5703125" style="160" customWidth="1"/>
    <col min="17" max="17" width="11.28515625" style="160" customWidth="1"/>
    <col min="18" max="16384" width="11.42578125" style="160"/>
  </cols>
  <sheetData>
    <row r="1" spans="1:18" ht="5.25" customHeight="1">
      <c r="A1" s="159"/>
      <c r="B1" s="159"/>
      <c r="C1" s="159"/>
      <c r="D1" s="159"/>
      <c r="E1" s="159"/>
      <c r="F1" s="159"/>
      <c r="G1" s="159"/>
      <c r="H1" s="159"/>
      <c r="I1" s="159"/>
      <c r="J1" s="159"/>
      <c r="K1" s="159"/>
    </row>
    <row r="2" spans="1:18" ht="5.25" customHeight="1" thickBot="1">
      <c r="A2" s="159"/>
      <c r="B2" s="159"/>
      <c r="C2" s="159"/>
      <c r="D2" s="159"/>
      <c r="E2" s="159"/>
      <c r="F2" s="159"/>
      <c r="G2" s="159"/>
      <c r="H2" s="159"/>
      <c r="I2" s="159"/>
      <c r="J2" s="159"/>
      <c r="K2" s="159"/>
    </row>
    <row r="3" spans="1:18" ht="42.75" thickTop="1">
      <c r="A3" s="159"/>
      <c r="B3" s="161"/>
      <c r="C3" s="162"/>
      <c r="D3" s="626" t="s">
        <v>230</v>
      </c>
      <c r="E3" s="163"/>
      <c r="F3" s="163"/>
      <c r="G3" s="163"/>
      <c r="H3" s="163"/>
      <c r="I3" s="163"/>
      <c r="J3" s="164"/>
      <c r="K3" s="159"/>
    </row>
    <row r="4" spans="1:18">
      <c r="A4" s="159"/>
      <c r="B4" s="165"/>
      <c r="C4" s="166"/>
      <c r="D4" s="166"/>
      <c r="E4" s="166"/>
      <c r="F4" s="166"/>
      <c r="G4" s="166"/>
      <c r="H4" s="166"/>
      <c r="I4" s="166"/>
      <c r="J4" s="167"/>
      <c r="K4" s="159"/>
    </row>
    <row r="5" spans="1:18" ht="8.25" customHeight="1">
      <c r="A5" s="159"/>
      <c r="B5" s="165"/>
      <c r="C5" s="166"/>
      <c r="D5" s="166"/>
      <c r="E5" s="166"/>
      <c r="F5" s="166"/>
      <c r="G5" s="166"/>
      <c r="H5" s="166"/>
      <c r="I5" s="166"/>
      <c r="J5" s="167"/>
      <c r="K5" s="159"/>
    </row>
    <row r="6" spans="1:18" ht="8.25" customHeight="1">
      <c r="A6" s="159"/>
      <c r="B6" s="165"/>
      <c r="C6" s="166"/>
      <c r="D6" s="166"/>
      <c r="E6" s="166"/>
      <c r="F6" s="166"/>
      <c r="G6" s="166"/>
      <c r="H6" s="166"/>
      <c r="I6" s="166"/>
      <c r="J6" s="167"/>
      <c r="K6" s="159"/>
    </row>
    <row r="7" spans="1:18" ht="28.5">
      <c r="A7" s="159"/>
      <c r="B7" s="165"/>
      <c r="C7" s="166"/>
      <c r="D7" s="168"/>
      <c r="E7" s="763" t="s">
        <v>183</v>
      </c>
      <c r="F7" s="764"/>
      <c r="G7" s="764"/>
      <c r="H7" s="764"/>
      <c r="I7" s="166"/>
      <c r="J7" s="167"/>
      <c r="K7" s="159"/>
    </row>
    <row r="8" spans="1:18" ht="24" thickBot="1">
      <c r="A8" s="159"/>
      <c r="B8" s="165"/>
      <c r="C8" s="667" t="s">
        <v>454</v>
      </c>
      <c r="D8" s="169"/>
      <c r="E8" s="169"/>
      <c r="F8" s="169"/>
      <c r="G8" s="169"/>
      <c r="H8" s="166"/>
      <c r="I8" s="166"/>
      <c r="J8" s="167"/>
      <c r="K8" s="159"/>
    </row>
    <row r="9" spans="1:18" ht="33" thickTop="1" thickBot="1">
      <c r="A9" s="159"/>
      <c r="B9" s="165"/>
      <c r="C9" s="166"/>
      <c r="D9" s="169"/>
      <c r="E9" s="765" t="s">
        <v>149</v>
      </c>
      <c r="F9" s="766"/>
      <c r="G9" s="766"/>
      <c r="H9" s="766"/>
      <c r="I9" s="767"/>
      <c r="J9" s="167"/>
      <c r="K9" s="159"/>
    </row>
    <row r="10" spans="1:18" ht="42" thickTop="1" thickBot="1">
      <c r="A10" s="159"/>
      <c r="B10" s="165"/>
      <c r="C10" s="166"/>
      <c r="D10" s="170" t="s">
        <v>146</v>
      </c>
      <c r="E10" s="171" t="s">
        <v>231</v>
      </c>
      <c r="F10" s="172" t="s">
        <v>213</v>
      </c>
      <c r="G10" s="173" t="s">
        <v>215</v>
      </c>
      <c r="H10" s="173" t="s">
        <v>233</v>
      </c>
      <c r="I10" s="173" t="s">
        <v>234</v>
      </c>
      <c r="J10" s="167"/>
      <c r="K10" s="159"/>
      <c r="M10" s="160">
        <f>4096/2</f>
        <v>2048</v>
      </c>
    </row>
    <row r="11" spans="1:18">
      <c r="A11" s="159"/>
      <c r="B11" s="165"/>
      <c r="C11" s="166"/>
      <c r="D11" s="174" t="s">
        <v>147</v>
      </c>
      <c r="E11" s="175">
        <v>6.1440000000000001</v>
      </c>
      <c r="F11" s="176">
        <f>2/3</f>
        <v>0.66666666666666663</v>
      </c>
      <c r="G11" s="177">
        <f>32768/E11</f>
        <v>5333.333333333333</v>
      </c>
      <c r="H11" s="178">
        <v>5.3333333329999997</v>
      </c>
      <c r="I11" s="179">
        <f t="shared" ref="I11:I16" si="0">E11*1000000/32767</f>
        <v>187.50572222052676</v>
      </c>
      <c r="J11" s="167"/>
      <c r="K11" s="159"/>
    </row>
    <row r="12" spans="1:18">
      <c r="A12" s="159"/>
      <c r="B12" s="165"/>
      <c r="C12" s="166"/>
      <c r="D12" s="174" t="s">
        <v>153</v>
      </c>
      <c r="E12" s="180">
        <v>4.0960000000000001</v>
      </c>
      <c r="F12" s="181">
        <v>1</v>
      </c>
      <c r="G12" s="182">
        <f t="shared" ref="G12:G16" si="1">32768/E12</f>
        <v>8000</v>
      </c>
      <c r="H12" s="182">
        <v>8</v>
      </c>
      <c r="I12" s="183">
        <f t="shared" si="0"/>
        <v>125.0038148136845</v>
      </c>
      <c r="J12" s="167"/>
      <c r="K12" s="159"/>
    </row>
    <row r="13" spans="1:18">
      <c r="A13" s="159"/>
      <c r="B13" s="165"/>
      <c r="C13" s="166"/>
      <c r="D13" s="184" t="s">
        <v>148</v>
      </c>
      <c r="E13" s="185">
        <v>2.048</v>
      </c>
      <c r="F13" s="186">
        <v>2</v>
      </c>
      <c r="G13" s="187">
        <f t="shared" si="1"/>
        <v>16000</v>
      </c>
      <c r="H13" s="187">
        <v>16</v>
      </c>
      <c r="I13" s="183">
        <f t="shared" si="0"/>
        <v>62.50190740684225</v>
      </c>
      <c r="J13" s="167"/>
      <c r="K13" s="159"/>
    </row>
    <row r="14" spans="1:18">
      <c r="A14" s="159"/>
      <c r="B14" s="165"/>
      <c r="C14" s="166"/>
      <c r="D14" s="188" t="s">
        <v>154</v>
      </c>
      <c r="E14" s="189">
        <v>1.024</v>
      </c>
      <c r="F14" s="190">
        <v>4</v>
      </c>
      <c r="G14" s="182">
        <f t="shared" si="1"/>
        <v>32000</v>
      </c>
      <c r="H14" s="182">
        <v>32</v>
      </c>
      <c r="I14" s="183">
        <f t="shared" si="0"/>
        <v>31.250953703421125</v>
      </c>
      <c r="J14" s="167"/>
      <c r="K14" s="159"/>
      <c r="M14" s="191"/>
      <c r="N14" s="191"/>
      <c r="O14" s="191"/>
      <c r="R14" s="191"/>
    </row>
    <row r="15" spans="1:18">
      <c r="A15" s="159"/>
      <c r="B15" s="165"/>
      <c r="C15" s="166"/>
      <c r="D15" s="188" t="s">
        <v>155</v>
      </c>
      <c r="E15" s="189">
        <v>0.51200000000000001</v>
      </c>
      <c r="F15" s="190">
        <v>8</v>
      </c>
      <c r="G15" s="182">
        <f t="shared" si="1"/>
        <v>64000</v>
      </c>
      <c r="H15" s="182">
        <v>64</v>
      </c>
      <c r="I15" s="183">
        <f t="shared" si="0"/>
        <v>15.625476851710562</v>
      </c>
      <c r="J15" s="167"/>
      <c r="K15" s="159"/>
      <c r="M15" s="191"/>
      <c r="N15" s="191"/>
      <c r="O15" s="191"/>
    </row>
    <row r="16" spans="1:18" ht="15.75" thickBot="1">
      <c r="A16" s="159"/>
      <c r="B16" s="165"/>
      <c r="C16" s="166"/>
      <c r="D16" s="192" t="s">
        <v>150</v>
      </c>
      <c r="E16" s="193">
        <v>0.25600000000000001</v>
      </c>
      <c r="F16" s="194">
        <v>16</v>
      </c>
      <c r="G16" s="195">
        <f t="shared" si="1"/>
        <v>128000</v>
      </c>
      <c r="H16" s="195">
        <v>128</v>
      </c>
      <c r="I16" s="196">
        <f t="shared" si="0"/>
        <v>7.8127384258552812</v>
      </c>
      <c r="J16" s="167"/>
      <c r="K16" s="159"/>
      <c r="M16" s="191"/>
      <c r="N16" s="191"/>
      <c r="O16" s="191"/>
    </row>
    <row r="17" spans="1:15" ht="8.25" customHeight="1">
      <c r="A17" s="159"/>
      <c r="B17" s="165"/>
      <c r="C17" s="166"/>
      <c r="D17" s="166"/>
      <c r="E17" s="166"/>
      <c r="F17" s="166"/>
      <c r="G17" s="166"/>
      <c r="H17" s="166"/>
      <c r="I17" s="166"/>
      <c r="J17" s="167"/>
      <c r="K17" s="159"/>
      <c r="M17" s="191"/>
      <c r="N17" s="191"/>
      <c r="O17" s="191"/>
    </row>
    <row r="18" spans="1:15" ht="13.5" customHeight="1">
      <c r="A18" s="159"/>
      <c r="B18" s="165"/>
      <c r="C18" s="166"/>
      <c r="D18" s="166"/>
      <c r="E18" s="166"/>
      <c r="F18" s="166"/>
      <c r="G18" s="166"/>
      <c r="H18" s="166"/>
      <c r="I18" s="166"/>
      <c r="J18" s="167"/>
      <c r="K18" s="159"/>
      <c r="O18" s="191"/>
    </row>
    <row r="19" spans="1:15" ht="23.25">
      <c r="A19" s="159"/>
      <c r="B19" s="165"/>
      <c r="C19" s="197" t="s">
        <v>235</v>
      </c>
      <c r="D19" s="198" t="s">
        <v>229</v>
      </c>
      <c r="E19" s="199"/>
      <c r="F19" s="166"/>
      <c r="G19" s="166"/>
      <c r="H19" s="166"/>
      <c r="I19" s="166"/>
      <c r="J19" s="167"/>
      <c r="K19" s="159"/>
      <c r="O19" s="191"/>
    </row>
    <row r="20" spans="1:15" s="207" customFormat="1" ht="26.25">
      <c r="A20" s="200"/>
      <c r="B20" s="201"/>
      <c r="C20" s="202" t="s">
        <v>451</v>
      </c>
      <c r="D20" s="155">
        <v>6.1440000000000001</v>
      </c>
      <c r="E20" s="199" t="s">
        <v>288</v>
      </c>
      <c r="F20" s="203">
        <f>32768/(D20*1000)</f>
        <v>5.333333333333333</v>
      </c>
      <c r="G20" s="669">
        <f>VLOOKUP(D20,E11:I16,5,FALSE)</f>
        <v>187.50572222052676</v>
      </c>
      <c r="H20" s="656" t="s">
        <v>452</v>
      </c>
      <c r="I20" s="205"/>
      <c r="J20" s="206"/>
      <c r="K20" s="200"/>
      <c r="O20" s="208"/>
    </row>
    <row r="21" spans="1:15" ht="10.5" customHeight="1">
      <c r="A21" s="159"/>
      <c r="B21" s="165"/>
      <c r="C21" s="209"/>
      <c r="D21" s="209"/>
      <c r="E21" s="210"/>
      <c r="F21" s="211"/>
      <c r="G21" s="166"/>
      <c r="H21" s="166"/>
      <c r="I21" s="166"/>
      <c r="J21" s="167"/>
      <c r="K21" s="159"/>
      <c r="O21" s="191"/>
    </row>
    <row r="22" spans="1:15" ht="36">
      <c r="A22" s="212"/>
      <c r="B22" s="165"/>
      <c r="C22" s="213" t="s">
        <v>236</v>
      </c>
      <c r="D22" s="156">
        <v>568</v>
      </c>
      <c r="E22" s="214" t="s">
        <v>285</v>
      </c>
      <c r="F22" s="665" t="str">
        <f>IF(ABS(D22)&gt;D20*1000,"Vin supérieur à FS !","")</f>
        <v/>
      </c>
      <c r="G22" s="204"/>
      <c r="H22" s="166"/>
      <c r="I22" s="166"/>
      <c r="J22" s="167"/>
      <c r="K22" s="159"/>
    </row>
    <row r="23" spans="1:15" ht="14.25" customHeight="1">
      <c r="A23" s="159"/>
      <c r="B23" s="165"/>
      <c r="C23" s="215"/>
      <c r="D23" s="215"/>
      <c r="E23" s="166"/>
      <c r="F23" s="166"/>
      <c r="G23" s="166"/>
      <c r="H23" s="166"/>
      <c r="I23" s="166"/>
      <c r="J23" s="167"/>
      <c r="K23" s="159"/>
    </row>
    <row r="24" spans="1:15" ht="22.5" hidden="1" customHeight="1">
      <c r="A24" s="159"/>
      <c r="B24" s="165"/>
      <c r="C24" s="210">
        <f>D22/ABS(D22)</f>
        <v>1</v>
      </c>
      <c r="D24" s="216">
        <f>ROUND(D22*F20,0)</f>
        <v>3029</v>
      </c>
      <c r="E24" s="217" t="s">
        <v>287</v>
      </c>
      <c r="F24" s="220">
        <f>IF(ABS(D22)&gt;D20,IF(C24=-1,32768,32767),"Dans la gamme de mesuireOK")</f>
        <v>32767</v>
      </c>
      <c r="G24" s="166"/>
      <c r="H24" s="166"/>
      <c r="I24" s="166"/>
      <c r="J24" s="167"/>
      <c r="K24" s="159"/>
    </row>
    <row r="25" spans="1:15" ht="22.5" hidden="1" customHeight="1">
      <c r="A25" s="159"/>
      <c r="B25" s="165"/>
      <c r="C25" s="210"/>
      <c r="D25" s="216">
        <f>ROUND(IF(ABS(D22)&gt;=1000*D20,IF(C24=-1,-32768,32767),D22*F20),0)</f>
        <v>3029</v>
      </c>
      <c r="E25" s="217" t="s">
        <v>287</v>
      </c>
      <c r="F25" s="166"/>
      <c r="G25" s="166"/>
      <c r="H25" s="166"/>
      <c r="I25" s="166"/>
      <c r="J25" s="167"/>
      <c r="K25" s="159"/>
    </row>
    <row r="26" spans="1:15" ht="33.75">
      <c r="A26" s="159"/>
      <c r="B26" s="165"/>
      <c r="C26" s="218" t="s">
        <v>232</v>
      </c>
      <c r="D26" s="219">
        <f>IF(D25&lt;0,65536+D25,D25)</f>
        <v>3029</v>
      </c>
      <c r="E26" s="775" t="str">
        <f>IF(ABS(D22)&gt;1000*D20,"ADC saturé !","")</f>
        <v/>
      </c>
      <c r="F26" s="776"/>
      <c r="G26" s="166"/>
      <c r="H26" s="166"/>
      <c r="I26" s="166"/>
      <c r="J26" s="167"/>
      <c r="K26" s="159"/>
    </row>
    <row r="27" spans="1:15" ht="6.75" customHeight="1">
      <c r="A27" s="159"/>
      <c r="B27" s="165"/>
      <c r="C27" s="210"/>
      <c r="D27" s="220"/>
      <c r="E27" s="166"/>
      <c r="F27" s="166"/>
      <c r="G27" s="166"/>
      <c r="H27" s="166"/>
      <c r="I27" s="166"/>
      <c r="J27" s="167"/>
      <c r="K27" s="159"/>
    </row>
    <row r="28" spans="1:15" ht="30.75" customHeight="1">
      <c r="A28" s="159"/>
      <c r="B28" s="165"/>
      <c r="C28" s="218" t="s">
        <v>286</v>
      </c>
      <c r="D28" s="219" t="str">
        <f>RIGHT(DEC2HEX(D25,4),4)</f>
        <v>0BD5</v>
      </c>
      <c r="E28" s="166"/>
      <c r="F28" s="666" t="str">
        <f>IF(ABS(D22)&gt;5300,"Vin &gt; Vcc + 0.3V = CIRCUIT DETRUIT !","")</f>
        <v/>
      </c>
      <c r="G28" s="166"/>
      <c r="H28" s="166"/>
      <c r="I28" s="166"/>
      <c r="J28" s="167"/>
      <c r="K28" s="159"/>
    </row>
    <row r="29" spans="1:15" ht="13.5" customHeight="1">
      <c r="A29" s="159"/>
      <c r="B29" s="165"/>
      <c r="C29" s="210"/>
      <c r="D29" s="220"/>
      <c r="E29" s="166"/>
      <c r="F29" s="166"/>
      <c r="G29" s="166"/>
      <c r="H29" s="166"/>
      <c r="I29" s="166"/>
      <c r="J29" s="167"/>
      <c r="K29" s="159"/>
    </row>
    <row r="30" spans="1:15" ht="30">
      <c r="A30" s="159"/>
      <c r="B30" s="165"/>
      <c r="C30" s="768" t="str">
        <f>DEC2BIN((D26)/256,8)&amp;DEC2BIN(MOD(D26,256),8)</f>
        <v>0000101111010101</v>
      </c>
      <c r="D30" s="768"/>
      <c r="E30" s="768"/>
      <c r="F30" s="768"/>
      <c r="G30" s="166"/>
      <c r="H30" s="166"/>
      <c r="I30" s="166"/>
      <c r="J30" s="167"/>
      <c r="K30" s="159"/>
    </row>
    <row r="31" spans="1:15" ht="11.25" customHeight="1">
      <c r="A31" s="159"/>
      <c r="B31" s="165"/>
      <c r="C31" s="210"/>
      <c r="D31" s="205"/>
      <c r="E31" s="205"/>
      <c r="F31" s="205"/>
      <c r="G31" s="166"/>
      <c r="H31" s="166"/>
      <c r="I31" s="166"/>
      <c r="J31" s="167"/>
      <c r="K31" s="159"/>
    </row>
    <row r="32" spans="1:15" ht="22.5" customHeight="1" thickBot="1">
      <c r="A32" s="159"/>
      <c r="B32" s="165"/>
      <c r="C32" s="761" t="s">
        <v>119</v>
      </c>
      <c r="D32" s="761"/>
      <c r="E32" s="761" t="s">
        <v>118</v>
      </c>
      <c r="F32" s="761"/>
      <c r="G32" s="166"/>
      <c r="H32" s="166"/>
      <c r="I32" s="166"/>
      <c r="J32" s="167"/>
      <c r="K32" s="159"/>
    </row>
    <row r="33" spans="1:14" ht="30.75" customHeight="1" thickBot="1">
      <c r="A33" s="159"/>
      <c r="B33" s="165"/>
      <c r="C33" s="769" t="str">
        <f>MID(C30,1,8)</f>
        <v>00001011</v>
      </c>
      <c r="D33" s="770"/>
      <c r="E33" s="771" t="str">
        <f>MID(C30,9,8)</f>
        <v>11010101</v>
      </c>
      <c r="F33" s="772"/>
      <c r="G33" s="166"/>
      <c r="H33" s="166"/>
      <c r="I33" s="166"/>
      <c r="J33" s="167"/>
      <c r="K33" s="159"/>
    </row>
    <row r="34" spans="1:14" ht="24.75" customHeight="1">
      <c r="A34" s="159"/>
      <c r="B34" s="165"/>
      <c r="C34" s="762">
        <f>BIN2DEC(C33)</f>
        <v>11</v>
      </c>
      <c r="D34" s="762"/>
      <c r="E34" s="762">
        <f>BIN2DEC(E33)</f>
        <v>213</v>
      </c>
      <c r="F34" s="762"/>
      <c r="G34" s="166"/>
      <c r="H34" s="166"/>
      <c r="I34" s="166"/>
      <c r="J34" s="167"/>
      <c r="K34" s="159"/>
    </row>
    <row r="35" spans="1:14" ht="30" customHeight="1">
      <c r="A35" s="159"/>
      <c r="B35" s="165"/>
      <c r="C35" s="773" t="str">
        <f>IF(MID(C30,1,1)="1","V.In négatif","")</f>
        <v/>
      </c>
      <c r="D35" s="773"/>
      <c r="E35" s="774"/>
      <c r="F35" s="774"/>
      <c r="G35" s="166"/>
      <c r="H35" s="166"/>
      <c r="I35" s="166"/>
      <c r="J35" s="167"/>
      <c r="K35" s="159"/>
    </row>
    <row r="36" spans="1:14" ht="9" customHeight="1" thickBot="1">
      <c r="B36" s="221"/>
      <c r="C36" s="222"/>
      <c r="D36" s="222"/>
      <c r="E36" s="222"/>
      <c r="F36" s="222"/>
      <c r="G36" s="222"/>
      <c r="H36" s="222"/>
      <c r="I36" s="222"/>
      <c r="J36" s="223"/>
    </row>
    <row r="37" spans="1:14" ht="11.25" customHeight="1" thickTop="1"/>
    <row r="38" spans="1:14" ht="31.5">
      <c r="C38" s="663" t="s">
        <v>453</v>
      </c>
      <c r="F38" s="224"/>
    </row>
    <row r="39" spans="1:14" ht="6" customHeight="1"/>
    <row r="40" spans="1:14" ht="6.75" customHeight="1" thickBot="1"/>
    <row r="41" spans="1:14" ht="24" thickBot="1">
      <c r="C41" s="660" t="s">
        <v>294</v>
      </c>
      <c r="D41" s="664">
        <f>D20</f>
        <v>6.1440000000000001</v>
      </c>
      <c r="E41" s="225" t="s">
        <v>160</v>
      </c>
    </row>
    <row r="42" spans="1:14" ht="6" customHeight="1" thickBot="1">
      <c r="C42" s="658"/>
      <c r="D42" s="610"/>
    </row>
    <row r="43" spans="1:14" ht="27.75" thickBot="1">
      <c r="C43" s="659" t="s">
        <v>119</v>
      </c>
      <c r="D43" s="664">
        <f>C34</f>
        <v>11</v>
      </c>
      <c r="E43" s="116"/>
      <c r="F43" s="104" t="str">
        <f>DEC2BIN(D43,8)</f>
        <v>00001011</v>
      </c>
      <c r="G43" s="102">
        <f>BIN2DEC(F43)</f>
        <v>11</v>
      </c>
      <c r="H43" s="117">
        <f>G43*256</f>
        <v>2816</v>
      </c>
      <c r="I43" s="99"/>
      <c r="J43" s="99"/>
      <c r="K43" s="99"/>
      <c r="L43" s="99"/>
      <c r="M43" s="99"/>
      <c r="N43" s="99"/>
    </row>
    <row r="44" spans="1:14" ht="27.75" thickBot="1">
      <c r="C44" s="659" t="s">
        <v>118</v>
      </c>
      <c r="D44" s="664">
        <f>E34</f>
        <v>213</v>
      </c>
      <c r="E44" s="116"/>
      <c r="F44" s="104" t="str">
        <f>DEC2BIN(D44,8)</f>
        <v>11010101</v>
      </c>
      <c r="G44" s="101"/>
      <c r="H44" s="117">
        <f>BIN2DEC(F44)</f>
        <v>213</v>
      </c>
      <c r="L44" s="105"/>
      <c r="M44" s="99"/>
      <c r="N44" s="99"/>
    </row>
    <row r="45" spans="1:14" ht="11.25" customHeight="1" thickBot="1">
      <c r="C45" s="126"/>
      <c r="D45" s="99"/>
      <c r="E45" s="116"/>
      <c r="F45" s="104"/>
      <c r="G45" s="101"/>
      <c r="H45" s="117"/>
      <c r="I45" s="226"/>
      <c r="J45" s="227"/>
      <c r="K45" s="228"/>
      <c r="L45" s="105"/>
      <c r="M45" s="99"/>
      <c r="N45" s="99"/>
    </row>
    <row r="46" spans="1:14" ht="32.25" customHeight="1" thickTop="1" thickBot="1">
      <c r="C46" s="126"/>
      <c r="D46" s="99"/>
      <c r="E46" s="116"/>
      <c r="F46" s="104"/>
      <c r="G46" s="233" t="s">
        <v>216</v>
      </c>
      <c r="H46" s="234">
        <f>H43+H44</f>
        <v>3029</v>
      </c>
      <c r="I46" s="228"/>
      <c r="J46" s="227"/>
      <c r="K46" s="228"/>
      <c r="L46" s="106"/>
      <c r="M46" s="99"/>
      <c r="N46" s="99"/>
    </row>
    <row r="47" spans="1:14" ht="6.75" customHeight="1" thickTop="1">
      <c r="C47" s="126"/>
      <c r="D47" s="99"/>
      <c r="E47" s="116"/>
      <c r="F47" s="104"/>
      <c r="G47" s="101"/>
      <c r="H47" s="104"/>
      <c r="I47" s="228"/>
      <c r="J47" s="227"/>
      <c r="K47" s="228"/>
      <c r="L47" s="106"/>
      <c r="M47" s="99"/>
      <c r="N47" s="99"/>
    </row>
    <row r="48" spans="1:14" ht="30">
      <c r="C48" s="126"/>
      <c r="D48" s="768" t="str">
        <f>CONCATENATE(F43,F44)</f>
        <v>0000101111010101</v>
      </c>
      <c r="E48" s="768"/>
      <c r="F48" s="768"/>
      <c r="G48" s="101"/>
      <c r="H48" s="229"/>
      <c r="I48" s="228"/>
      <c r="J48" s="227"/>
      <c r="K48" s="228"/>
      <c r="L48" s="106"/>
      <c r="M48" s="99"/>
      <c r="N48" s="99"/>
    </row>
    <row r="49" spans="3:14" ht="4.5" customHeight="1">
      <c r="C49" s="126"/>
      <c r="D49" s="99"/>
      <c r="E49" s="116"/>
      <c r="F49" s="104"/>
      <c r="G49" s="101"/>
      <c r="H49" s="229"/>
      <c r="I49" s="228"/>
      <c r="J49" s="227"/>
      <c r="K49" s="228"/>
      <c r="L49" s="106"/>
      <c r="M49" s="99"/>
      <c r="N49" s="99"/>
    </row>
    <row r="50" spans="3:14" ht="27" hidden="1" customHeight="1">
      <c r="C50" s="126"/>
      <c r="D50" s="99"/>
      <c r="E50" s="116"/>
      <c r="F50" s="158">
        <f ca="1">SUMPRODUCT(1*MID(D48,ROW(INDIRECT("1:"&amp;LEN(D48))),1),2^(LEN(D48)-ROW(INDIRECT("1:"&amp;LEN(D48)))))</f>
        <v>3029</v>
      </c>
      <c r="G50" s="157" t="s">
        <v>287</v>
      </c>
      <c r="H50" s="229"/>
      <c r="I50" s="228"/>
      <c r="J50" s="227"/>
      <c r="K50" s="228"/>
      <c r="L50" s="106"/>
      <c r="M50" s="99"/>
      <c r="N50" s="99"/>
    </row>
    <row r="51" spans="3:14" ht="27.75" hidden="1" customHeight="1" thickBot="1">
      <c r="C51" s="126"/>
      <c r="D51" s="99"/>
      <c r="E51" s="116"/>
      <c r="F51" s="158">
        <f ca="1">IF(F50&lt;=32767,F50,F50-65536)</f>
        <v>3029</v>
      </c>
      <c r="G51" s="157" t="s">
        <v>404</v>
      </c>
      <c r="H51" s="229"/>
      <c r="I51" s="228"/>
      <c r="J51" s="227"/>
      <c r="K51" s="228"/>
      <c r="L51" s="106"/>
      <c r="M51" s="99"/>
      <c r="N51" s="99"/>
    </row>
    <row r="52" spans="3:14" ht="36" customHeight="1">
      <c r="C52" s="230" t="s">
        <v>293</v>
      </c>
      <c r="D52" s="550">
        <f>32768/(D20*1000)</f>
        <v>5.333333333333333</v>
      </c>
      <c r="E52" s="231"/>
      <c r="F52" s="759">
        <f ca="1">F51/D52</f>
        <v>567.9375</v>
      </c>
      <c r="G52" s="760"/>
      <c r="H52" s="662" t="s">
        <v>145</v>
      </c>
      <c r="I52" s="232"/>
      <c r="M52" s="99"/>
    </row>
    <row r="54" spans="3:14" ht="20.25">
      <c r="F54" s="657" t="str">
        <f>IF(ABS(D22)&gt;D20*1000,"Vin supérieur à FS !","")</f>
        <v/>
      </c>
    </row>
    <row r="55" spans="3:14" ht="29.25" customHeight="1">
      <c r="F55" s="661" t="str">
        <f>IF(ABS(D22)&gt;1000*D20,"ADC saturé à la valeur de Full Scale !","")</f>
        <v/>
      </c>
    </row>
    <row r="57" spans="3:14" ht="27.75">
      <c r="F57" s="668" t="str">
        <f>IF(ABS(D22)&gt;5300,"Vin &gt; Vcc + 0.3V = CIRCUIT DETRUIT !","")</f>
        <v/>
      </c>
    </row>
  </sheetData>
  <sheetProtection password="C9A7" sheet="1" objects="1" scenarios="1"/>
  <mergeCells count="14">
    <mergeCell ref="F52:G52"/>
    <mergeCell ref="E32:F32"/>
    <mergeCell ref="E34:F34"/>
    <mergeCell ref="E7:H7"/>
    <mergeCell ref="E9:I9"/>
    <mergeCell ref="C30:F30"/>
    <mergeCell ref="C33:D33"/>
    <mergeCell ref="E33:F33"/>
    <mergeCell ref="C35:D35"/>
    <mergeCell ref="E35:F35"/>
    <mergeCell ref="C32:D32"/>
    <mergeCell ref="D48:F48"/>
    <mergeCell ref="C34:D34"/>
    <mergeCell ref="E26:F26"/>
  </mergeCells>
  <conditionalFormatting sqref="D11:I11">
    <cfRule type="expression" dxfId="41" priority="21">
      <formula>$D$20=6.144</formula>
    </cfRule>
  </conditionalFormatting>
  <conditionalFormatting sqref="D12:I12">
    <cfRule type="expression" dxfId="40" priority="20">
      <formula>$D$20=4.096</formula>
    </cfRule>
  </conditionalFormatting>
  <conditionalFormatting sqref="D13:I13">
    <cfRule type="expression" dxfId="39" priority="19">
      <formula>$D$20=2.048</formula>
    </cfRule>
  </conditionalFormatting>
  <conditionalFormatting sqref="D14:I14">
    <cfRule type="expression" dxfId="38" priority="18">
      <formula>$D$20=1.024</formula>
    </cfRule>
  </conditionalFormatting>
  <conditionalFormatting sqref="D15:I15">
    <cfRule type="expression" dxfId="37" priority="17">
      <formula>$D$20=0.512</formula>
    </cfRule>
  </conditionalFormatting>
  <conditionalFormatting sqref="D16:I16">
    <cfRule type="expression" dxfId="36" priority="16">
      <formula>$D$20=0.256</formula>
    </cfRule>
  </conditionalFormatting>
  <conditionalFormatting sqref="D26:F26">
    <cfRule type="expression" dxfId="35" priority="5" stopIfTrue="1">
      <formula>ABS($D$22)&gt;5300</formula>
    </cfRule>
  </conditionalFormatting>
  <conditionalFormatting sqref="D28">
    <cfRule type="expression" dxfId="34" priority="12">
      <formula>ABS($D$22)&gt;5300</formula>
    </cfRule>
  </conditionalFormatting>
  <conditionalFormatting sqref="C30:F30">
    <cfRule type="expression" dxfId="33" priority="10">
      <formula>ABS($D$22)&gt;5300</formula>
    </cfRule>
    <cfRule type="expression" dxfId="32" priority="11">
      <formula>MID($C$30,1,1)="1"</formula>
    </cfRule>
  </conditionalFormatting>
  <conditionalFormatting sqref="C33:F33 G46:H46 F52">
    <cfRule type="expression" dxfId="31" priority="9">
      <formula>ABS($D$22)&gt;5300</formula>
    </cfRule>
  </conditionalFormatting>
  <conditionalFormatting sqref="D22">
    <cfRule type="expression" dxfId="30" priority="6">
      <formula>ABS($D$22)&gt;1000*$D$20</formula>
    </cfRule>
  </conditionalFormatting>
  <conditionalFormatting sqref="E26">
    <cfRule type="expression" dxfId="29" priority="13">
      <formula>ABS($D$22)&gt;1000*$D$20</formula>
    </cfRule>
  </conditionalFormatting>
  <conditionalFormatting sqref="D48:F48">
    <cfRule type="expression" dxfId="28" priority="1">
      <formula>ABS($D$22)&gt;5300</formula>
    </cfRule>
    <cfRule type="expression" dxfId="27" priority="2">
      <formula>MID($C$30,1,1)="1"</formula>
    </cfRule>
  </conditionalFormatting>
  <dataValidations disablePrompts="1" count="5">
    <dataValidation type="list" allowBlank="1" showInputMessage="1" showErrorMessage="1" promptTitle="Choisissez Vin Max" sqref="D21">
      <formula1>#REF!</formula1>
    </dataValidation>
    <dataValidation type="list" allowBlank="1" showInputMessage="1" showErrorMessage="1" promptTitle="Choisissez Vin Max" sqref="D20">
      <formula1>$E$11:$E$16</formula1>
    </dataValidation>
    <dataValidation type="whole" allowBlank="1" showInputMessage="1" showErrorMessage="1" errorTitle="Saisie de  la valeur V.In" error="1.Entrez une valeur entière (Pas de décimales)_x000a_2. Ne pas dépasser  5,3 V !" promptTitle="Indiquez la valeur d'entrée" sqref="D22">
      <formula1>-6000</formula1>
      <formula2>6000</formula2>
    </dataValidation>
    <dataValidation allowBlank="1" showInputMessage="1" showErrorMessage="1" errorTitle="MSB Value Exceeded !" error="          Valeur MAX d'un Byte = 255" sqref="D43"/>
    <dataValidation allowBlank="1" showInputMessage="1" showErrorMessage="1" errorTitle="LSB Value Exceeded !" error="         Valeur Max d'un Byte = 255" sqref="D44"/>
  </dataValidations>
  <pageMargins left="0.14000000000000001" right="0.15" top="0.23" bottom="0.23" header="0.16" footer="0.13"/>
  <pageSetup paperSize="9" orientation="landscape" verticalDpi="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2"/>
  <dimension ref="B1:M72"/>
  <sheetViews>
    <sheetView showGridLines="0" workbookViewId="0">
      <selection activeCell="J10" sqref="J10"/>
    </sheetView>
  </sheetViews>
  <sheetFormatPr baseColWidth="10" defaultRowHeight="15"/>
  <cols>
    <col min="1" max="1" width="3.85546875" style="160" customWidth="1"/>
    <col min="2" max="4" width="11.42578125" style="160"/>
    <col min="5" max="5" width="24.7109375" style="160" customWidth="1"/>
    <col min="6" max="6" width="48" style="160" customWidth="1"/>
    <col min="7" max="7" width="18.42578125" style="160" customWidth="1"/>
    <col min="8" max="8" width="29" style="160" customWidth="1"/>
    <col min="9" max="10" width="11.42578125" style="160"/>
    <col min="11" max="11" width="21" style="160" customWidth="1"/>
    <col min="12" max="12" width="14.5703125" style="160" bestFit="1" customWidth="1"/>
    <col min="13" max="13" width="20.7109375" style="160" customWidth="1"/>
    <col min="14" max="16384" width="11.42578125" style="160"/>
  </cols>
  <sheetData>
    <row r="1" spans="2:8" ht="6" customHeight="1"/>
    <row r="2" spans="2:8" ht="61.5" customHeight="1">
      <c r="B2" s="777"/>
      <c r="C2" s="778"/>
      <c r="D2" s="618" t="s">
        <v>433</v>
      </c>
    </row>
    <row r="3" spans="2:8" ht="15.75">
      <c r="B3" s="235"/>
      <c r="C3" s="236"/>
      <c r="D3" s="237"/>
      <c r="E3" s="238"/>
      <c r="F3" s="239" t="s">
        <v>284</v>
      </c>
      <c r="G3" s="238"/>
    </row>
    <row r="4" spans="2:8" ht="15.75">
      <c r="B4" s="235"/>
      <c r="C4" s="236"/>
      <c r="D4" s="237"/>
      <c r="E4" s="238"/>
      <c r="F4" s="239" t="s">
        <v>283</v>
      </c>
      <c r="G4" s="238"/>
    </row>
    <row r="5" spans="2:8" ht="6" customHeight="1">
      <c r="B5" s="235"/>
      <c r="C5" s="236"/>
      <c r="D5" s="240"/>
      <c r="E5" s="238"/>
      <c r="G5" s="238"/>
    </row>
    <row r="6" spans="2:8">
      <c r="B6" s="238"/>
      <c r="C6" s="238"/>
      <c r="D6" s="238"/>
      <c r="E6" s="238"/>
      <c r="F6" s="239" t="s">
        <v>282</v>
      </c>
      <c r="G6" s="238"/>
      <c r="H6" s="241"/>
    </row>
    <row r="7" spans="2:8">
      <c r="B7" s="238"/>
      <c r="C7" s="238"/>
      <c r="D7" s="238"/>
      <c r="E7" s="238"/>
      <c r="G7" s="238"/>
    </row>
    <row r="8" spans="2:8" ht="59.25">
      <c r="E8" s="260" t="s">
        <v>167</v>
      </c>
    </row>
    <row r="9" spans="2:8" ht="32.25" thickBot="1">
      <c r="E9" s="242" t="s">
        <v>209</v>
      </c>
    </row>
    <row r="10" spans="2:8" ht="57" customHeight="1" thickTop="1">
      <c r="C10" s="243"/>
      <c r="D10" s="282" t="s">
        <v>277</v>
      </c>
      <c r="E10" s="283" t="s">
        <v>314</v>
      </c>
      <c r="F10" s="284" t="s">
        <v>278</v>
      </c>
      <c r="G10" s="298" t="s">
        <v>315</v>
      </c>
      <c r="H10" s="305" t="s">
        <v>315</v>
      </c>
    </row>
    <row r="11" spans="2:8" ht="52.5" customHeight="1" thickBot="1">
      <c r="B11" s="245"/>
      <c r="C11" s="288" t="s">
        <v>279</v>
      </c>
      <c r="D11" s="285"/>
      <c r="E11" s="286">
        <v>32768</v>
      </c>
      <c r="F11" s="287" t="str">
        <f t="shared" ref="F11:F14" si="0">DEC2BIN(E11/256,8)&amp;DEC2BIN(MOD(E11,256),8)</f>
        <v>1000000000000000</v>
      </c>
      <c r="G11" s="299" t="s">
        <v>316</v>
      </c>
      <c r="H11" s="306" t="s">
        <v>317</v>
      </c>
    </row>
    <row r="12" spans="2:8" ht="54.95" customHeight="1" thickTop="1" thickBot="1">
      <c r="B12" s="262" t="s">
        <v>281</v>
      </c>
      <c r="C12" s="261">
        <f>G12+(-E12)</f>
        <v>0</v>
      </c>
      <c r="D12" s="276" t="s">
        <v>214</v>
      </c>
      <c r="E12" s="281">
        <f>HEX2DEC(D12)</f>
        <v>32767</v>
      </c>
      <c r="F12" s="297" t="str">
        <f>DEC2BIN(E12/256,8)&amp;DEC2BIN(MOD(E12,256),8)</f>
        <v>0111111111111111</v>
      </c>
      <c r="G12" s="300">
        <f>IF(E12&lt;0,65536+E12,E12)</f>
        <v>32767</v>
      </c>
      <c r="H12" s="307">
        <f ca="1">SUMPRODUCT(1*MID(F12,ROW(INDIRECT("1:"&amp;LEN(F12))),1),2^(LEN(F12)-ROW(INDIRECT("1:"&amp;LEN(F12)))))</f>
        <v>32767</v>
      </c>
    </row>
    <row r="13" spans="2:8" ht="21.75" thickBot="1">
      <c r="B13" s="245"/>
      <c r="C13" s="246">
        <f>G13+(-E13)</f>
        <v>0</v>
      </c>
      <c r="D13" s="247" t="str">
        <f t="shared" ref="D13:D44" si="1">RIGHT(DEC2HEX(E13,4),4)</f>
        <v>7FFD</v>
      </c>
      <c r="E13" s="277">
        <v>32765</v>
      </c>
      <c r="F13" s="248" t="str">
        <f t="shared" si="0"/>
        <v>0111111111111101</v>
      </c>
      <c r="G13" s="301">
        <f>IF(E13&lt;0,65536+E13,E13)</f>
        <v>32765</v>
      </c>
      <c r="H13" s="308">
        <f ca="1">SUMPRODUCT(1*MID(F13,ROW(INDIRECT("1:"&amp;LEN(F13))),1),2^(LEN(F13)-ROW(INDIRECT("1:"&amp;LEN(F13)))))</f>
        <v>32765</v>
      </c>
    </row>
    <row r="14" spans="2:8" ht="21.75" thickBot="1">
      <c r="B14" s="245"/>
      <c r="C14" s="270">
        <f t="shared" ref="C14:C40" si="2">G14+(-E14)</f>
        <v>0</v>
      </c>
      <c r="D14" s="271" t="str">
        <f t="shared" si="1"/>
        <v>7FFD</v>
      </c>
      <c r="E14" s="278">
        <v>32765</v>
      </c>
      <c r="F14" s="272" t="str">
        <f t="shared" si="0"/>
        <v>0111111111111101</v>
      </c>
      <c r="G14" s="302">
        <f t="shared" ref="G14:G70" si="3">IF(E14&lt;0,65536+E14,E14)</f>
        <v>32765</v>
      </c>
      <c r="H14" s="308">
        <f t="shared" ref="H14:H70" ca="1" si="4">SUMPRODUCT(1*MID(F14,ROW(INDIRECT("1:"&amp;LEN(F14))),1),2^(LEN(F14)-ROW(INDIRECT("1:"&amp;LEN(F14)))))</f>
        <v>32765</v>
      </c>
    </row>
    <row r="15" spans="2:8" ht="21.75" thickBot="1">
      <c r="B15" s="245"/>
      <c r="C15" s="270">
        <f t="shared" si="2"/>
        <v>0</v>
      </c>
      <c r="D15" s="271" t="str">
        <f t="shared" si="1"/>
        <v>7FFB</v>
      </c>
      <c r="E15" s="278">
        <v>32763</v>
      </c>
      <c r="F15" s="272" t="str">
        <f>DEC2BIN(E15/256,8)&amp;DEC2BIN(MOD(E15,256),8)</f>
        <v>0111111111111011</v>
      </c>
      <c r="G15" s="302">
        <f t="shared" si="3"/>
        <v>32763</v>
      </c>
      <c r="H15" s="308">
        <f t="shared" ca="1" si="4"/>
        <v>32763</v>
      </c>
    </row>
    <row r="16" spans="2:8" ht="21.75" thickBot="1">
      <c r="B16" s="245"/>
      <c r="C16" s="270">
        <f t="shared" si="2"/>
        <v>0</v>
      </c>
      <c r="D16" s="271" t="str">
        <f t="shared" si="1"/>
        <v>6529</v>
      </c>
      <c r="E16" s="278">
        <v>25897</v>
      </c>
      <c r="F16" s="272" t="str">
        <f t="shared" ref="F16:F36" si="5">DEC2BIN(E16/256,8)&amp;DEC2BIN(MOD(E16,256),8)</f>
        <v>0110010100101001</v>
      </c>
      <c r="G16" s="302">
        <f t="shared" si="3"/>
        <v>25897</v>
      </c>
      <c r="H16" s="308">
        <f t="shared" ca="1" si="4"/>
        <v>25897</v>
      </c>
    </row>
    <row r="17" spans="2:8" ht="21.75" thickBot="1">
      <c r="B17" s="245"/>
      <c r="C17" s="270">
        <f t="shared" si="2"/>
        <v>0</v>
      </c>
      <c r="D17" s="271" t="str">
        <f t="shared" si="1"/>
        <v>2904</v>
      </c>
      <c r="E17" s="278">
        <v>10500</v>
      </c>
      <c r="F17" s="272" t="str">
        <f t="shared" si="5"/>
        <v>0010100100000100</v>
      </c>
      <c r="G17" s="302">
        <f t="shared" si="3"/>
        <v>10500</v>
      </c>
      <c r="H17" s="308">
        <f t="shared" ca="1" si="4"/>
        <v>10500</v>
      </c>
    </row>
    <row r="18" spans="2:8" ht="21.75" thickBot="1">
      <c r="B18" s="245"/>
      <c r="C18" s="270">
        <f t="shared" si="2"/>
        <v>0</v>
      </c>
      <c r="D18" s="271" t="str">
        <f t="shared" si="1"/>
        <v>0A26</v>
      </c>
      <c r="E18" s="278">
        <v>2598</v>
      </c>
      <c r="F18" s="272" t="str">
        <f t="shared" si="5"/>
        <v>0000101000100110</v>
      </c>
      <c r="G18" s="302">
        <f t="shared" si="3"/>
        <v>2598</v>
      </c>
      <c r="H18" s="308">
        <f t="shared" ca="1" si="4"/>
        <v>2598</v>
      </c>
    </row>
    <row r="19" spans="2:8" ht="21.75" thickBot="1">
      <c r="B19" s="245"/>
      <c r="C19" s="270">
        <f t="shared" si="2"/>
        <v>0</v>
      </c>
      <c r="D19" s="271" t="str">
        <f t="shared" si="1"/>
        <v>04D2</v>
      </c>
      <c r="E19" s="278">
        <v>1234</v>
      </c>
      <c r="F19" s="272" t="str">
        <f t="shared" si="5"/>
        <v>0000010011010010</v>
      </c>
      <c r="G19" s="302">
        <f t="shared" si="3"/>
        <v>1234</v>
      </c>
      <c r="H19" s="308">
        <f t="shared" ca="1" si="4"/>
        <v>1234</v>
      </c>
    </row>
    <row r="20" spans="2:8" ht="21.75" thickBot="1">
      <c r="B20" s="245"/>
      <c r="C20" s="270">
        <f t="shared" si="2"/>
        <v>0</v>
      </c>
      <c r="D20" s="271" t="str">
        <f t="shared" si="1"/>
        <v>0014</v>
      </c>
      <c r="E20" s="278">
        <v>20</v>
      </c>
      <c r="F20" s="272" t="str">
        <f t="shared" si="5"/>
        <v>0000000000010100</v>
      </c>
      <c r="G20" s="302">
        <f t="shared" si="3"/>
        <v>20</v>
      </c>
      <c r="H20" s="308">
        <f t="shared" ca="1" si="4"/>
        <v>20</v>
      </c>
    </row>
    <row r="21" spans="2:8" ht="21.75" thickBot="1">
      <c r="B21" s="245"/>
      <c r="C21" s="270">
        <f t="shared" si="2"/>
        <v>0</v>
      </c>
      <c r="D21" s="271" t="str">
        <f t="shared" si="1"/>
        <v>0013</v>
      </c>
      <c r="E21" s="278">
        <v>19</v>
      </c>
      <c r="F21" s="272" t="str">
        <f t="shared" si="5"/>
        <v>0000000000010011</v>
      </c>
      <c r="G21" s="302">
        <f t="shared" si="3"/>
        <v>19</v>
      </c>
      <c r="H21" s="308">
        <f t="shared" ca="1" si="4"/>
        <v>19</v>
      </c>
    </row>
    <row r="22" spans="2:8" ht="21.75" thickBot="1">
      <c r="B22" s="245"/>
      <c r="C22" s="270">
        <f t="shared" si="2"/>
        <v>0</v>
      </c>
      <c r="D22" s="271" t="str">
        <f t="shared" si="1"/>
        <v>0012</v>
      </c>
      <c r="E22" s="278">
        <v>18</v>
      </c>
      <c r="F22" s="272" t="str">
        <f t="shared" si="5"/>
        <v>0000000000010010</v>
      </c>
      <c r="G22" s="302">
        <f t="shared" si="3"/>
        <v>18</v>
      </c>
      <c r="H22" s="308">
        <f t="shared" ca="1" si="4"/>
        <v>18</v>
      </c>
    </row>
    <row r="23" spans="2:8" ht="21.75" thickBot="1">
      <c r="B23" s="245"/>
      <c r="C23" s="270">
        <f t="shared" si="2"/>
        <v>0</v>
      </c>
      <c r="D23" s="271" t="str">
        <f t="shared" si="1"/>
        <v>0011</v>
      </c>
      <c r="E23" s="278">
        <v>17</v>
      </c>
      <c r="F23" s="272" t="str">
        <f t="shared" si="5"/>
        <v>0000000000010001</v>
      </c>
      <c r="G23" s="302">
        <f t="shared" si="3"/>
        <v>17</v>
      </c>
      <c r="H23" s="308">
        <f t="shared" ca="1" si="4"/>
        <v>17</v>
      </c>
    </row>
    <row r="24" spans="2:8" ht="21.75" thickBot="1">
      <c r="B24" s="245"/>
      <c r="C24" s="270">
        <f t="shared" si="2"/>
        <v>0</v>
      </c>
      <c r="D24" s="271" t="str">
        <f t="shared" si="1"/>
        <v>0010</v>
      </c>
      <c r="E24" s="278">
        <v>16</v>
      </c>
      <c r="F24" s="272" t="str">
        <f t="shared" si="5"/>
        <v>0000000000010000</v>
      </c>
      <c r="G24" s="302">
        <f t="shared" si="3"/>
        <v>16</v>
      </c>
      <c r="H24" s="308">
        <f t="shared" ca="1" si="4"/>
        <v>16</v>
      </c>
    </row>
    <row r="25" spans="2:8" ht="21.75" thickBot="1">
      <c r="B25" s="245"/>
      <c r="C25" s="270">
        <f t="shared" si="2"/>
        <v>0</v>
      </c>
      <c r="D25" s="271" t="str">
        <f t="shared" si="1"/>
        <v>000F</v>
      </c>
      <c r="E25" s="278">
        <v>15</v>
      </c>
      <c r="F25" s="272" t="str">
        <f t="shared" si="5"/>
        <v>0000000000001111</v>
      </c>
      <c r="G25" s="302">
        <f t="shared" si="3"/>
        <v>15</v>
      </c>
      <c r="H25" s="308">
        <f t="shared" ca="1" si="4"/>
        <v>15</v>
      </c>
    </row>
    <row r="26" spans="2:8" ht="21.75" thickBot="1">
      <c r="B26" s="245"/>
      <c r="C26" s="270">
        <f t="shared" si="2"/>
        <v>0</v>
      </c>
      <c r="D26" s="271" t="str">
        <f t="shared" si="1"/>
        <v>000E</v>
      </c>
      <c r="E26" s="278">
        <v>14</v>
      </c>
      <c r="F26" s="272" t="str">
        <f t="shared" si="5"/>
        <v>0000000000001110</v>
      </c>
      <c r="G26" s="302">
        <f t="shared" si="3"/>
        <v>14</v>
      </c>
      <c r="H26" s="308">
        <f t="shared" ca="1" si="4"/>
        <v>14</v>
      </c>
    </row>
    <row r="27" spans="2:8" ht="21.75" thickBot="1">
      <c r="B27" s="245"/>
      <c r="C27" s="270">
        <f t="shared" si="2"/>
        <v>0</v>
      </c>
      <c r="D27" s="271" t="str">
        <f t="shared" si="1"/>
        <v>000D</v>
      </c>
      <c r="E27" s="278">
        <v>13</v>
      </c>
      <c r="F27" s="272" t="str">
        <f t="shared" si="5"/>
        <v>0000000000001101</v>
      </c>
      <c r="G27" s="302">
        <f t="shared" si="3"/>
        <v>13</v>
      </c>
      <c r="H27" s="308">
        <f t="shared" ca="1" si="4"/>
        <v>13</v>
      </c>
    </row>
    <row r="28" spans="2:8" ht="21.75" thickBot="1">
      <c r="B28" s="245"/>
      <c r="C28" s="270">
        <f t="shared" si="2"/>
        <v>0</v>
      </c>
      <c r="D28" s="271" t="str">
        <f t="shared" si="1"/>
        <v>000C</v>
      </c>
      <c r="E28" s="278">
        <v>12</v>
      </c>
      <c r="F28" s="272" t="str">
        <f t="shared" si="5"/>
        <v>0000000000001100</v>
      </c>
      <c r="G28" s="302">
        <f t="shared" si="3"/>
        <v>12</v>
      </c>
      <c r="H28" s="308">
        <f t="shared" ca="1" si="4"/>
        <v>12</v>
      </c>
    </row>
    <row r="29" spans="2:8" ht="21.75" thickBot="1">
      <c r="B29" s="245"/>
      <c r="C29" s="270">
        <f t="shared" si="2"/>
        <v>0</v>
      </c>
      <c r="D29" s="271" t="str">
        <f t="shared" si="1"/>
        <v>000B</v>
      </c>
      <c r="E29" s="278">
        <v>11</v>
      </c>
      <c r="F29" s="272" t="str">
        <f t="shared" si="5"/>
        <v>0000000000001011</v>
      </c>
      <c r="G29" s="302">
        <f t="shared" si="3"/>
        <v>11</v>
      </c>
      <c r="H29" s="308">
        <f t="shared" ca="1" si="4"/>
        <v>11</v>
      </c>
    </row>
    <row r="30" spans="2:8" ht="21.75" thickBot="1">
      <c r="B30" s="245"/>
      <c r="C30" s="270">
        <f t="shared" si="2"/>
        <v>0</v>
      </c>
      <c r="D30" s="271" t="str">
        <f t="shared" si="1"/>
        <v>000A</v>
      </c>
      <c r="E30" s="278">
        <v>10</v>
      </c>
      <c r="F30" s="272" t="str">
        <f t="shared" si="5"/>
        <v>0000000000001010</v>
      </c>
      <c r="G30" s="302">
        <f t="shared" si="3"/>
        <v>10</v>
      </c>
      <c r="H30" s="308">
        <f t="shared" ca="1" si="4"/>
        <v>10</v>
      </c>
    </row>
    <row r="31" spans="2:8" ht="21.75" thickBot="1">
      <c r="B31" s="245"/>
      <c r="C31" s="270">
        <f t="shared" si="2"/>
        <v>0</v>
      </c>
      <c r="D31" s="271" t="str">
        <f t="shared" si="1"/>
        <v>0009</v>
      </c>
      <c r="E31" s="278">
        <v>9</v>
      </c>
      <c r="F31" s="272" t="str">
        <f t="shared" si="5"/>
        <v>0000000000001001</v>
      </c>
      <c r="G31" s="302">
        <f t="shared" si="3"/>
        <v>9</v>
      </c>
      <c r="H31" s="308">
        <f t="shared" ca="1" si="4"/>
        <v>9</v>
      </c>
    </row>
    <row r="32" spans="2:8" ht="21.75" thickBot="1">
      <c r="B32" s="245"/>
      <c r="C32" s="270">
        <f t="shared" si="2"/>
        <v>0</v>
      </c>
      <c r="D32" s="271" t="str">
        <f t="shared" si="1"/>
        <v>0008</v>
      </c>
      <c r="E32" s="278">
        <v>8</v>
      </c>
      <c r="F32" s="272" t="str">
        <f t="shared" si="5"/>
        <v>0000000000001000</v>
      </c>
      <c r="G32" s="302">
        <f t="shared" si="3"/>
        <v>8</v>
      </c>
      <c r="H32" s="308">
        <f t="shared" ca="1" si="4"/>
        <v>8</v>
      </c>
    </row>
    <row r="33" spans="2:13" ht="21.75" thickBot="1">
      <c r="B33" s="245"/>
      <c r="C33" s="270">
        <f t="shared" si="2"/>
        <v>0</v>
      </c>
      <c r="D33" s="271" t="str">
        <f t="shared" si="1"/>
        <v>0007</v>
      </c>
      <c r="E33" s="278">
        <v>7</v>
      </c>
      <c r="F33" s="272" t="str">
        <f t="shared" si="5"/>
        <v>0000000000000111</v>
      </c>
      <c r="G33" s="302">
        <f t="shared" si="3"/>
        <v>7</v>
      </c>
      <c r="H33" s="308">
        <f t="shared" ca="1" si="4"/>
        <v>7</v>
      </c>
      <c r="J33" s="289" t="s">
        <v>308</v>
      </c>
      <c r="K33" s="292" t="s">
        <v>318</v>
      </c>
      <c r="L33" s="292">
        <v>32767</v>
      </c>
      <c r="M33" s="292" t="s">
        <v>310</v>
      </c>
    </row>
    <row r="34" spans="2:13" ht="21.75" thickBot="1">
      <c r="B34" s="245"/>
      <c r="C34" s="270">
        <f t="shared" si="2"/>
        <v>0</v>
      </c>
      <c r="D34" s="271" t="str">
        <f t="shared" si="1"/>
        <v>0006</v>
      </c>
      <c r="E34" s="278">
        <v>6</v>
      </c>
      <c r="F34" s="272" t="str">
        <f t="shared" si="5"/>
        <v>0000000000000110</v>
      </c>
      <c r="G34" s="302">
        <f t="shared" si="3"/>
        <v>6</v>
      </c>
      <c r="H34" s="308">
        <f t="shared" ca="1" si="4"/>
        <v>6</v>
      </c>
      <c r="J34" s="290" t="s">
        <v>311</v>
      </c>
      <c r="K34" s="293" t="s">
        <v>312</v>
      </c>
      <c r="L34" s="294">
        <v>1</v>
      </c>
      <c r="M34" s="294" t="s">
        <v>310</v>
      </c>
    </row>
    <row r="35" spans="2:13" ht="21.75" thickBot="1">
      <c r="B35" s="245"/>
      <c r="C35" s="270">
        <f t="shared" si="2"/>
        <v>0</v>
      </c>
      <c r="D35" s="271" t="str">
        <f t="shared" si="1"/>
        <v>0005</v>
      </c>
      <c r="E35" s="278">
        <v>5</v>
      </c>
      <c r="F35" s="272" t="str">
        <f t="shared" si="5"/>
        <v>0000000000000101</v>
      </c>
      <c r="G35" s="302">
        <f t="shared" si="3"/>
        <v>5</v>
      </c>
      <c r="H35" s="308">
        <f t="shared" ca="1" si="4"/>
        <v>5</v>
      </c>
      <c r="J35" s="291" t="s">
        <v>309</v>
      </c>
      <c r="K35" s="295" t="s">
        <v>319</v>
      </c>
      <c r="L35" s="295">
        <f>65535-32768</f>
        <v>32767</v>
      </c>
      <c r="M35" s="295" t="s">
        <v>310</v>
      </c>
    </row>
    <row r="36" spans="2:13" ht="21.75" thickBot="1">
      <c r="B36" s="245"/>
      <c r="C36" s="270">
        <f t="shared" si="2"/>
        <v>0</v>
      </c>
      <c r="D36" s="271" t="str">
        <f t="shared" si="1"/>
        <v>0004</v>
      </c>
      <c r="E36" s="278">
        <v>4</v>
      </c>
      <c r="F36" s="272" t="str">
        <f t="shared" si="5"/>
        <v>0000000000000100</v>
      </c>
      <c r="G36" s="302">
        <f t="shared" si="3"/>
        <v>4</v>
      </c>
      <c r="H36" s="308">
        <f t="shared" ca="1" si="4"/>
        <v>4</v>
      </c>
      <c r="J36" s="208"/>
      <c r="K36" s="292"/>
      <c r="L36" s="250">
        <f>SUM(L33:L35)</f>
        <v>65535</v>
      </c>
      <c r="M36" s="292" t="str">
        <f>DEC2BIN((L36)/256,8)&amp;DEC2BIN(MOD(L36,256),8)</f>
        <v>1111111111111111</v>
      </c>
    </row>
    <row r="37" spans="2:13" ht="21.75" thickBot="1">
      <c r="B37" s="245"/>
      <c r="C37" s="270">
        <f t="shared" si="2"/>
        <v>0</v>
      </c>
      <c r="D37" s="271" t="str">
        <f t="shared" si="1"/>
        <v>0003</v>
      </c>
      <c r="E37" s="278">
        <v>3</v>
      </c>
      <c r="F37" s="272" t="str">
        <f>DEC2BIN(E37/256,8)&amp;DEC2BIN(MOD(E37,256),8)</f>
        <v>0000000000000011</v>
      </c>
      <c r="G37" s="302">
        <f t="shared" si="3"/>
        <v>3</v>
      </c>
      <c r="H37" s="308">
        <f t="shared" ca="1" si="4"/>
        <v>3</v>
      </c>
      <c r="K37" s="296"/>
      <c r="L37" s="296"/>
      <c r="M37" s="292" t="s">
        <v>313</v>
      </c>
    </row>
    <row r="38" spans="2:13" ht="21.75" thickBot="1">
      <c r="B38" s="245"/>
      <c r="C38" s="270">
        <f t="shared" si="2"/>
        <v>0</v>
      </c>
      <c r="D38" s="271" t="str">
        <f t="shared" si="1"/>
        <v>0002</v>
      </c>
      <c r="E38" s="278">
        <v>2</v>
      </c>
      <c r="F38" s="272" t="str">
        <f>DEC2BIN(E38/256,8)&amp;DEC2BIN(MOD(E38,256),8)</f>
        <v>0000000000000010</v>
      </c>
      <c r="G38" s="302">
        <f t="shared" si="3"/>
        <v>2</v>
      </c>
      <c r="H38" s="308">
        <f t="shared" ca="1" si="4"/>
        <v>2</v>
      </c>
    </row>
    <row r="39" spans="2:13" ht="21.75" thickBot="1">
      <c r="B39" s="245"/>
      <c r="C39" s="246">
        <f t="shared" si="2"/>
        <v>0</v>
      </c>
      <c r="D39" s="249" t="str">
        <f t="shared" si="1"/>
        <v>0001</v>
      </c>
      <c r="E39" s="277">
        <v>1</v>
      </c>
      <c r="F39" s="248" t="str">
        <f>DEC2BIN(E39/256,8)&amp;DEC2BIN(MOD(E39,256),8)</f>
        <v>0000000000000001</v>
      </c>
      <c r="G39" s="301">
        <f t="shared" si="3"/>
        <v>1</v>
      </c>
      <c r="H39" s="309">
        <f t="shared" ca="1" si="4"/>
        <v>1</v>
      </c>
      <c r="I39" s="251"/>
    </row>
    <row r="40" spans="2:13" ht="27" thickBot="1">
      <c r="B40" s="252"/>
      <c r="C40" s="314">
        <f t="shared" si="2"/>
        <v>0</v>
      </c>
      <c r="D40" s="315" t="str">
        <f t="shared" si="1"/>
        <v>0000</v>
      </c>
      <c r="E40" s="313">
        <v>0</v>
      </c>
      <c r="F40" s="316" t="str">
        <f>DEC2BIN(E40/256,8)&amp;DEC2BIN(MOD(E40,256),8)</f>
        <v>0000000000000000</v>
      </c>
      <c r="G40" s="317">
        <f t="shared" si="3"/>
        <v>0</v>
      </c>
      <c r="H40" s="318">
        <f t="shared" ca="1" si="4"/>
        <v>0</v>
      </c>
      <c r="I40" s="251"/>
    </row>
    <row r="41" spans="2:13" ht="22.5" thickTop="1" thickBot="1">
      <c r="B41" s="245"/>
      <c r="C41" s="254">
        <f>G41+(-E41)</f>
        <v>65536</v>
      </c>
      <c r="D41" s="255" t="str">
        <f t="shared" si="1"/>
        <v>FFFF</v>
      </c>
      <c r="E41" s="277">
        <v>-1</v>
      </c>
      <c r="F41" s="256" t="str">
        <f>DEC2BIN((G41)/256,8)&amp;DEC2BIN(MOD(G41,256),8)</f>
        <v>1111111111111111</v>
      </c>
      <c r="G41" s="301">
        <f t="shared" si="3"/>
        <v>65535</v>
      </c>
      <c r="H41" s="310">
        <f ca="1">SUMPRODUCT(1*MID(F41,ROW(INDIRECT("1:"&amp;LEN(F41))),1),2^(LEN(F41)-ROW(INDIRECT("1:"&amp;LEN(F41)))))</f>
        <v>65535</v>
      </c>
      <c r="I41" s="253"/>
    </row>
    <row r="42" spans="2:13" ht="21.75" thickBot="1">
      <c r="B42" s="245"/>
      <c r="C42" s="273">
        <f t="shared" ref="C42:C70" si="6">G42+(-E42)</f>
        <v>65536</v>
      </c>
      <c r="D42" s="274" t="str">
        <f t="shared" si="1"/>
        <v>FFFE</v>
      </c>
      <c r="E42" s="278">
        <v>-2</v>
      </c>
      <c r="F42" s="275" t="str">
        <f t="shared" ref="F42:F70" si="7">DEC2BIN((G42)/256,8)&amp;DEC2BIN(MOD(G42,256),8)</f>
        <v>1111111111111110</v>
      </c>
      <c r="G42" s="302">
        <f t="shared" si="3"/>
        <v>65534</v>
      </c>
      <c r="H42" s="308">
        <f t="shared" ca="1" si="4"/>
        <v>65534</v>
      </c>
      <c r="I42" s="253"/>
    </row>
    <row r="43" spans="2:13" ht="21.75" thickBot="1">
      <c r="B43" s="245"/>
      <c r="C43" s="273">
        <f t="shared" si="6"/>
        <v>65536</v>
      </c>
      <c r="D43" s="274" t="str">
        <f t="shared" si="1"/>
        <v>FFFD</v>
      </c>
      <c r="E43" s="278">
        <v>-3</v>
      </c>
      <c r="F43" s="275" t="str">
        <f t="shared" si="7"/>
        <v>1111111111111101</v>
      </c>
      <c r="G43" s="302">
        <f t="shared" si="3"/>
        <v>65533</v>
      </c>
      <c r="H43" s="308">
        <f t="shared" ca="1" si="4"/>
        <v>65533</v>
      </c>
      <c r="I43" s="253"/>
    </row>
    <row r="44" spans="2:13" ht="21.75" thickBot="1">
      <c r="B44" s="245"/>
      <c r="C44" s="273">
        <f t="shared" si="6"/>
        <v>65536</v>
      </c>
      <c r="D44" s="274" t="str">
        <f t="shared" si="1"/>
        <v>FFFC</v>
      </c>
      <c r="E44" s="278">
        <v>-4</v>
      </c>
      <c r="F44" s="275" t="str">
        <f t="shared" si="7"/>
        <v>1111111111111100</v>
      </c>
      <c r="G44" s="302">
        <f t="shared" si="3"/>
        <v>65532</v>
      </c>
      <c r="H44" s="308">
        <f t="shared" ca="1" si="4"/>
        <v>65532</v>
      </c>
      <c r="I44" s="253"/>
    </row>
    <row r="45" spans="2:13" ht="21.75" thickBot="1">
      <c r="B45" s="245"/>
      <c r="C45" s="273">
        <f t="shared" si="6"/>
        <v>65536</v>
      </c>
      <c r="D45" s="274" t="str">
        <f t="shared" ref="D45:D62" si="8">RIGHT(DEC2HEX(E45,4),4)</f>
        <v>FFFB</v>
      </c>
      <c r="E45" s="278">
        <v>-5</v>
      </c>
      <c r="F45" s="275" t="str">
        <f t="shared" si="7"/>
        <v>1111111111111011</v>
      </c>
      <c r="G45" s="302">
        <f t="shared" si="3"/>
        <v>65531</v>
      </c>
      <c r="H45" s="308">
        <f t="shared" ca="1" si="4"/>
        <v>65531</v>
      </c>
      <c r="I45" s="253"/>
    </row>
    <row r="46" spans="2:13" ht="21.75" thickBot="1">
      <c r="B46" s="245"/>
      <c r="C46" s="273">
        <f t="shared" si="6"/>
        <v>65536</v>
      </c>
      <c r="D46" s="274" t="str">
        <f t="shared" si="8"/>
        <v>FFFA</v>
      </c>
      <c r="E46" s="278">
        <v>-6</v>
      </c>
      <c r="F46" s="275" t="str">
        <f t="shared" si="7"/>
        <v>1111111111111010</v>
      </c>
      <c r="G46" s="302">
        <f t="shared" si="3"/>
        <v>65530</v>
      </c>
      <c r="H46" s="308">
        <f t="shared" ca="1" si="4"/>
        <v>65530</v>
      </c>
      <c r="I46" s="253"/>
    </row>
    <row r="47" spans="2:13" ht="21.75" thickBot="1">
      <c r="B47" s="245"/>
      <c r="C47" s="273">
        <f t="shared" si="6"/>
        <v>65536</v>
      </c>
      <c r="D47" s="274" t="str">
        <f>RIGHT(DEC2HEX(E47,4),4)</f>
        <v>FFF9</v>
      </c>
      <c r="E47" s="278">
        <v>-7</v>
      </c>
      <c r="F47" s="275" t="str">
        <f t="shared" si="7"/>
        <v>1111111111111001</v>
      </c>
      <c r="G47" s="302">
        <f t="shared" si="3"/>
        <v>65529</v>
      </c>
      <c r="H47" s="308">
        <f t="shared" ca="1" si="4"/>
        <v>65529</v>
      </c>
      <c r="I47" s="253"/>
    </row>
    <row r="48" spans="2:13" ht="21.75" thickBot="1">
      <c r="B48" s="245"/>
      <c r="C48" s="273">
        <f t="shared" si="6"/>
        <v>65536</v>
      </c>
      <c r="D48" s="274" t="str">
        <f t="shared" si="8"/>
        <v>FFF8</v>
      </c>
      <c r="E48" s="278">
        <v>-8</v>
      </c>
      <c r="F48" s="275" t="str">
        <f t="shared" si="7"/>
        <v>1111111111111000</v>
      </c>
      <c r="G48" s="302">
        <f t="shared" si="3"/>
        <v>65528</v>
      </c>
      <c r="H48" s="308">
        <f t="shared" ca="1" si="4"/>
        <v>65528</v>
      </c>
      <c r="I48" s="253"/>
    </row>
    <row r="49" spans="2:9" ht="21.75" thickBot="1">
      <c r="B49" s="245"/>
      <c r="C49" s="273">
        <f t="shared" si="6"/>
        <v>65536</v>
      </c>
      <c r="D49" s="274" t="str">
        <f t="shared" si="8"/>
        <v>FFF7</v>
      </c>
      <c r="E49" s="278">
        <v>-9</v>
      </c>
      <c r="F49" s="275" t="str">
        <f t="shared" si="7"/>
        <v>1111111111110111</v>
      </c>
      <c r="G49" s="302">
        <f t="shared" si="3"/>
        <v>65527</v>
      </c>
      <c r="H49" s="308">
        <f t="shared" ca="1" si="4"/>
        <v>65527</v>
      </c>
      <c r="I49" s="253"/>
    </row>
    <row r="50" spans="2:9" ht="21.75" thickBot="1">
      <c r="B50" s="245"/>
      <c r="C50" s="273">
        <f t="shared" si="6"/>
        <v>65536</v>
      </c>
      <c r="D50" s="274" t="str">
        <f t="shared" si="8"/>
        <v>FFF6</v>
      </c>
      <c r="E50" s="278">
        <v>-10</v>
      </c>
      <c r="F50" s="275" t="str">
        <f t="shared" si="7"/>
        <v>1111111111110110</v>
      </c>
      <c r="G50" s="302">
        <f t="shared" si="3"/>
        <v>65526</v>
      </c>
      <c r="H50" s="308">
        <f t="shared" ca="1" si="4"/>
        <v>65526</v>
      </c>
      <c r="I50" s="253"/>
    </row>
    <row r="51" spans="2:9" ht="21.75" thickBot="1">
      <c r="B51" s="245"/>
      <c r="C51" s="273">
        <f t="shared" si="6"/>
        <v>65536</v>
      </c>
      <c r="D51" s="274" t="str">
        <f t="shared" si="8"/>
        <v>FFF5</v>
      </c>
      <c r="E51" s="278">
        <v>-11</v>
      </c>
      <c r="F51" s="275" t="str">
        <f t="shared" si="7"/>
        <v>1111111111110101</v>
      </c>
      <c r="G51" s="302">
        <f t="shared" si="3"/>
        <v>65525</v>
      </c>
      <c r="H51" s="308">
        <f t="shared" ca="1" si="4"/>
        <v>65525</v>
      </c>
      <c r="I51" s="253"/>
    </row>
    <row r="52" spans="2:9" ht="21.75" thickBot="1">
      <c r="B52" s="245"/>
      <c r="C52" s="273">
        <f t="shared" si="6"/>
        <v>65536</v>
      </c>
      <c r="D52" s="274" t="str">
        <f t="shared" si="8"/>
        <v>FFF4</v>
      </c>
      <c r="E52" s="278">
        <v>-12</v>
      </c>
      <c r="F52" s="275" t="str">
        <f t="shared" si="7"/>
        <v>1111111111110100</v>
      </c>
      <c r="G52" s="302">
        <f t="shared" si="3"/>
        <v>65524</v>
      </c>
      <c r="H52" s="308">
        <f t="shared" ca="1" si="4"/>
        <v>65524</v>
      </c>
    </row>
    <row r="53" spans="2:9" ht="21.75" thickBot="1">
      <c r="B53" s="245"/>
      <c r="C53" s="273">
        <f t="shared" si="6"/>
        <v>65536</v>
      </c>
      <c r="D53" s="274" t="str">
        <f t="shared" si="8"/>
        <v>FFF3</v>
      </c>
      <c r="E53" s="278">
        <v>-13</v>
      </c>
      <c r="F53" s="275" t="str">
        <f t="shared" si="7"/>
        <v>1111111111110011</v>
      </c>
      <c r="G53" s="302">
        <f t="shared" si="3"/>
        <v>65523</v>
      </c>
      <c r="H53" s="308">
        <f t="shared" ca="1" si="4"/>
        <v>65523</v>
      </c>
    </row>
    <row r="54" spans="2:9" ht="21.75" thickBot="1">
      <c r="B54" s="245"/>
      <c r="C54" s="273">
        <f t="shared" si="6"/>
        <v>65536</v>
      </c>
      <c r="D54" s="274" t="str">
        <f t="shared" si="8"/>
        <v>FFF2</v>
      </c>
      <c r="E54" s="278">
        <v>-14</v>
      </c>
      <c r="F54" s="275" t="str">
        <f t="shared" si="7"/>
        <v>1111111111110010</v>
      </c>
      <c r="G54" s="302">
        <f t="shared" si="3"/>
        <v>65522</v>
      </c>
      <c r="H54" s="308">
        <f t="shared" ca="1" si="4"/>
        <v>65522</v>
      </c>
    </row>
    <row r="55" spans="2:9" ht="21.75" thickBot="1">
      <c r="B55" s="245"/>
      <c r="C55" s="273">
        <f t="shared" si="6"/>
        <v>65536</v>
      </c>
      <c r="D55" s="274" t="str">
        <f t="shared" si="8"/>
        <v>FFF1</v>
      </c>
      <c r="E55" s="278">
        <v>-15</v>
      </c>
      <c r="F55" s="275" t="str">
        <f t="shared" si="7"/>
        <v>1111111111110001</v>
      </c>
      <c r="G55" s="302">
        <f t="shared" si="3"/>
        <v>65521</v>
      </c>
      <c r="H55" s="308">
        <f t="shared" ca="1" si="4"/>
        <v>65521</v>
      </c>
    </row>
    <row r="56" spans="2:9" ht="21.75" thickBot="1">
      <c r="B56" s="245"/>
      <c r="C56" s="273">
        <f t="shared" si="6"/>
        <v>65536</v>
      </c>
      <c r="D56" s="274" t="str">
        <f t="shared" si="8"/>
        <v>FFF0</v>
      </c>
      <c r="E56" s="278">
        <v>-16</v>
      </c>
      <c r="F56" s="275" t="str">
        <f t="shared" si="7"/>
        <v>1111111111110000</v>
      </c>
      <c r="G56" s="302">
        <f t="shared" si="3"/>
        <v>65520</v>
      </c>
      <c r="H56" s="308">
        <f t="shared" ca="1" si="4"/>
        <v>65520</v>
      </c>
    </row>
    <row r="57" spans="2:9" ht="21.75" thickBot="1">
      <c r="B57" s="245"/>
      <c r="C57" s="273">
        <f t="shared" si="6"/>
        <v>65536</v>
      </c>
      <c r="D57" s="274" t="str">
        <f t="shared" si="8"/>
        <v>FFEF</v>
      </c>
      <c r="E57" s="278">
        <v>-17</v>
      </c>
      <c r="F57" s="275" t="str">
        <f t="shared" si="7"/>
        <v>1111111111101111</v>
      </c>
      <c r="G57" s="302">
        <f t="shared" si="3"/>
        <v>65519</v>
      </c>
      <c r="H57" s="308">
        <f t="shared" ca="1" si="4"/>
        <v>65519</v>
      </c>
    </row>
    <row r="58" spans="2:9" ht="21.75" thickBot="1">
      <c r="B58" s="245"/>
      <c r="C58" s="273">
        <f t="shared" si="6"/>
        <v>65536</v>
      </c>
      <c r="D58" s="274" t="str">
        <f t="shared" si="8"/>
        <v>FFEE</v>
      </c>
      <c r="E58" s="278">
        <v>-18</v>
      </c>
      <c r="F58" s="275" t="str">
        <f t="shared" si="7"/>
        <v>1111111111101110</v>
      </c>
      <c r="G58" s="302">
        <f t="shared" si="3"/>
        <v>65518</v>
      </c>
      <c r="H58" s="308">
        <f t="shared" ca="1" si="4"/>
        <v>65518</v>
      </c>
    </row>
    <row r="59" spans="2:9" ht="21.75" thickBot="1">
      <c r="B59" s="245"/>
      <c r="C59" s="273">
        <f t="shared" si="6"/>
        <v>65536</v>
      </c>
      <c r="D59" s="274" t="str">
        <f t="shared" si="8"/>
        <v>FFED</v>
      </c>
      <c r="E59" s="278">
        <v>-19</v>
      </c>
      <c r="F59" s="275" t="str">
        <f t="shared" si="7"/>
        <v>1111111111101101</v>
      </c>
      <c r="G59" s="302">
        <f t="shared" si="3"/>
        <v>65517</v>
      </c>
      <c r="H59" s="308">
        <f t="shared" ca="1" si="4"/>
        <v>65517</v>
      </c>
    </row>
    <row r="60" spans="2:9" ht="21.75" thickBot="1">
      <c r="B60" s="245"/>
      <c r="C60" s="273">
        <f t="shared" si="6"/>
        <v>65536</v>
      </c>
      <c r="D60" s="274" t="str">
        <f t="shared" si="8"/>
        <v>FFEC</v>
      </c>
      <c r="E60" s="278">
        <v>-20</v>
      </c>
      <c r="F60" s="275" t="str">
        <f t="shared" si="7"/>
        <v>1111111111101100</v>
      </c>
      <c r="G60" s="302">
        <f t="shared" si="3"/>
        <v>65516</v>
      </c>
      <c r="H60" s="308">
        <f t="shared" ca="1" si="4"/>
        <v>65516</v>
      </c>
    </row>
    <row r="61" spans="2:9" ht="21.75" thickBot="1">
      <c r="B61" s="245"/>
      <c r="C61" s="273">
        <f t="shared" si="6"/>
        <v>65536</v>
      </c>
      <c r="D61" s="274" t="str">
        <f t="shared" si="8"/>
        <v>FFE0</v>
      </c>
      <c r="E61" s="278">
        <v>-32</v>
      </c>
      <c r="F61" s="275" t="str">
        <f t="shared" si="7"/>
        <v>1111111111100000</v>
      </c>
      <c r="G61" s="302">
        <f t="shared" si="3"/>
        <v>65504</v>
      </c>
      <c r="H61" s="308">
        <f t="shared" ca="1" si="4"/>
        <v>65504</v>
      </c>
    </row>
    <row r="62" spans="2:9" ht="21.75" thickBot="1">
      <c r="B62" s="245"/>
      <c r="C62" s="273">
        <f t="shared" si="6"/>
        <v>65536</v>
      </c>
      <c r="D62" s="274" t="str">
        <f t="shared" si="8"/>
        <v>FB2E</v>
      </c>
      <c r="E62" s="278">
        <v>-1234</v>
      </c>
      <c r="F62" s="275" t="str">
        <f t="shared" si="7"/>
        <v>1111101100101110</v>
      </c>
      <c r="G62" s="302">
        <f t="shared" si="3"/>
        <v>64302</v>
      </c>
      <c r="H62" s="308">
        <f t="shared" ca="1" si="4"/>
        <v>64302</v>
      </c>
    </row>
    <row r="63" spans="2:9" ht="21.75" thickBot="1">
      <c r="B63" s="245"/>
      <c r="C63" s="273">
        <f t="shared" si="6"/>
        <v>65536</v>
      </c>
      <c r="D63" s="274" t="str">
        <f t="shared" ref="D63:D69" si="9">RIGHT(DEC2HEX(E63,4),4)</f>
        <v>E890</v>
      </c>
      <c r="E63" s="278">
        <v>-6000</v>
      </c>
      <c r="F63" s="275" t="str">
        <f t="shared" si="7"/>
        <v>1110100010010000</v>
      </c>
      <c r="G63" s="302">
        <f t="shared" si="3"/>
        <v>59536</v>
      </c>
      <c r="H63" s="308">
        <f t="shared" ca="1" si="4"/>
        <v>59536</v>
      </c>
    </row>
    <row r="64" spans="2:9" ht="21.75" thickBot="1">
      <c r="B64" s="245"/>
      <c r="C64" s="273">
        <f t="shared" si="6"/>
        <v>65536</v>
      </c>
      <c r="D64" s="274" t="str">
        <f t="shared" si="9"/>
        <v>D6FC</v>
      </c>
      <c r="E64" s="278">
        <v>-10500</v>
      </c>
      <c r="F64" s="275" t="str">
        <f t="shared" si="7"/>
        <v>1101011011111100</v>
      </c>
      <c r="G64" s="302">
        <f t="shared" si="3"/>
        <v>55036</v>
      </c>
      <c r="H64" s="308">
        <f t="shared" ca="1" si="4"/>
        <v>55036</v>
      </c>
    </row>
    <row r="65" spans="2:8" ht="21.75" thickBot="1">
      <c r="B65" s="245"/>
      <c r="C65" s="273">
        <f t="shared" si="6"/>
        <v>65536</v>
      </c>
      <c r="D65" s="274" t="str">
        <f t="shared" si="9"/>
        <v>A7D7</v>
      </c>
      <c r="E65" s="278">
        <v>-22569</v>
      </c>
      <c r="F65" s="275" t="str">
        <f t="shared" si="7"/>
        <v>1010011111010111</v>
      </c>
      <c r="G65" s="302">
        <f t="shared" si="3"/>
        <v>42967</v>
      </c>
      <c r="H65" s="308">
        <f t="shared" ca="1" si="4"/>
        <v>42967</v>
      </c>
    </row>
    <row r="66" spans="2:8" ht="21.75" thickBot="1">
      <c r="B66" s="245"/>
      <c r="C66" s="273">
        <f t="shared" si="6"/>
        <v>65536</v>
      </c>
      <c r="D66" s="274" t="str">
        <f t="shared" si="9"/>
        <v>8004</v>
      </c>
      <c r="E66" s="278">
        <v>-32764</v>
      </c>
      <c r="F66" s="275" t="str">
        <f t="shared" si="7"/>
        <v>1000000000000100</v>
      </c>
      <c r="G66" s="302">
        <f t="shared" si="3"/>
        <v>32772</v>
      </c>
      <c r="H66" s="308">
        <f t="shared" ca="1" si="4"/>
        <v>32772</v>
      </c>
    </row>
    <row r="67" spans="2:8" ht="21.75" thickBot="1">
      <c r="B67" s="245"/>
      <c r="C67" s="273">
        <f t="shared" si="6"/>
        <v>65536</v>
      </c>
      <c r="D67" s="274" t="str">
        <f t="shared" si="9"/>
        <v>8003</v>
      </c>
      <c r="E67" s="278">
        <v>-32765</v>
      </c>
      <c r="F67" s="275" t="str">
        <f t="shared" si="7"/>
        <v>1000000000000011</v>
      </c>
      <c r="G67" s="302">
        <f t="shared" si="3"/>
        <v>32771</v>
      </c>
      <c r="H67" s="308">
        <f t="shared" ca="1" si="4"/>
        <v>32771</v>
      </c>
    </row>
    <row r="68" spans="2:8" ht="21.75" thickBot="1">
      <c r="B68" s="245"/>
      <c r="C68" s="273">
        <f t="shared" si="6"/>
        <v>65536</v>
      </c>
      <c r="D68" s="274" t="str">
        <f t="shared" si="9"/>
        <v>8002</v>
      </c>
      <c r="E68" s="278">
        <v>-32766</v>
      </c>
      <c r="F68" s="275" t="str">
        <f t="shared" si="7"/>
        <v>1000000000000010</v>
      </c>
      <c r="G68" s="302">
        <f t="shared" si="3"/>
        <v>32770</v>
      </c>
      <c r="H68" s="308">
        <f t="shared" ca="1" si="4"/>
        <v>32770</v>
      </c>
    </row>
    <row r="69" spans="2:8" ht="21">
      <c r="B69" s="245"/>
      <c r="C69" s="267">
        <f t="shared" si="6"/>
        <v>65536</v>
      </c>
      <c r="D69" s="268" t="str">
        <f t="shared" si="9"/>
        <v>8001</v>
      </c>
      <c r="E69" s="279">
        <v>-32767</v>
      </c>
      <c r="F69" s="269" t="str">
        <f t="shared" si="7"/>
        <v>1000000000000001</v>
      </c>
      <c r="G69" s="303">
        <f t="shared" si="3"/>
        <v>32769</v>
      </c>
      <c r="H69" s="311">
        <f t="shared" ca="1" si="4"/>
        <v>32769</v>
      </c>
    </row>
    <row r="70" spans="2:8" ht="54.95" customHeight="1" thickBot="1">
      <c r="B70" s="263" t="s">
        <v>280</v>
      </c>
      <c r="C70" s="264">
        <f t="shared" si="6"/>
        <v>65536</v>
      </c>
      <c r="D70" s="266" t="str">
        <f>RIGHT(DEC2HEX(E70,4),4)</f>
        <v>8000</v>
      </c>
      <c r="E70" s="280">
        <v>-32768</v>
      </c>
      <c r="F70" s="265" t="str">
        <f t="shared" si="7"/>
        <v>1000000000000000</v>
      </c>
      <c r="G70" s="304">
        <f t="shared" si="3"/>
        <v>32768</v>
      </c>
      <c r="H70" s="312">
        <f t="shared" ca="1" si="4"/>
        <v>32768</v>
      </c>
    </row>
    <row r="71" spans="2:8" ht="15.75" thickTop="1"/>
    <row r="72" spans="2:8" ht="23.25">
      <c r="D72" s="257"/>
      <c r="E72" s="258"/>
      <c r="F72" s="259"/>
      <c r="G72" s="244"/>
    </row>
  </sheetData>
  <sheetProtection password="C9A7" sheet="1" objects="1" scenarios="1"/>
  <mergeCells count="1">
    <mergeCell ref="B2:C2"/>
  </mergeCells>
  <dataValidations disablePrompts="1" count="1">
    <dataValidation type="whole" allowBlank="1" showInputMessage="1" showErrorMessage="1" errorTitle="ERROR ADC !!!" error="La valeur doit être comprise entre_x000a_           -32768 et +32767 !" sqref="E13:E69">
      <formula1>-32768</formula1>
      <formula2>32767</formula2>
    </dataValidation>
  </dataValidations>
  <hyperlinks>
    <hyperlink ref="F6" r:id="rId1"/>
    <hyperlink ref="F4" r:id="rId2"/>
    <hyperlink ref="F3" r:id="rId3"/>
  </hyperlinks>
  <pageMargins left="0.7" right="0.7" top="0.75" bottom="0.75" header="0.3" footer="0.3"/>
  <pageSetup paperSize="9" orientation="portrait" verticalDpi="0" r:id="rId4"/>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41"/>
  <sheetViews>
    <sheetView showGridLines="0" workbookViewId="0">
      <selection activeCell="M16" sqref="M16"/>
    </sheetView>
  </sheetViews>
  <sheetFormatPr baseColWidth="10" defaultRowHeight="14.25"/>
  <cols>
    <col min="1" max="1" width="11.42578125" style="99"/>
    <col min="2" max="2" width="12.7109375" style="99" customWidth="1"/>
    <col min="3" max="3" width="8.85546875" style="99" customWidth="1"/>
    <col min="4" max="4" width="16" style="99" customWidth="1"/>
    <col min="5" max="5" width="26.140625" style="99" customWidth="1"/>
    <col min="6" max="6" width="26.28515625" style="99" customWidth="1"/>
    <col min="7" max="7" width="29.7109375" style="99" customWidth="1"/>
    <col min="8" max="8" width="28.85546875" style="513" customWidth="1"/>
    <col min="9" max="9" width="12.42578125" style="513" customWidth="1"/>
    <col min="10" max="10" width="14.5703125" style="99" customWidth="1"/>
    <col min="11" max="12" width="11.42578125" style="99"/>
    <col min="13" max="13" width="20.140625" style="99" customWidth="1"/>
    <col min="14" max="14" width="16.42578125" style="99" customWidth="1"/>
    <col min="15" max="15" width="18.28515625" style="99" bestFit="1" customWidth="1"/>
    <col min="16" max="16" width="8.7109375" style="99" customWidth="1"/>
    <col min="17" max="17" width="19.42578125" style="99" bestFit="1" customWidth="1"/>
    <col min="18" max="16384" width="11.42578125" style="99"/>
  </cols>
  <sheetData>
    <row r="2" spans="2:13" ht="41.25" customHeight="1">
      <c r="D2" s="618" t="s">
        <v>434</v>
      </c>
      <c r="E2" s="100"/>
    </row>
    <row r="3" spans="2:13" ht="14.25" customHeight="1">
      <c r="E3" s="100"/>
      <c r="G3" s="540"/>
    </row>
    <row r="4" spans="2:13" ht="27">
      <c r="D4" s="99">
        <v>29</v>
      </c>
      <c r="E4" s="126" t="s">
        <v>119</v>
      </c>
      <c r="F4" s="125">
        <v>127</v>
      </c>
      <c r="G4" s="116" t="s">
        <v>167</v>
      </c>
      <c r="H4" s="325" t="str">
        <f>DEC2BIN(F4,8)</f>
        <v>01111111</v>
      </c>
      <c r="I4" s="513">
        <f>BIN2DEC(H4)</f>
        <v>127</v>
      </c>
      <c r="J4" s="589">
        <f>I4*256</f>
        <v>32512</v>
      </c>
      <c r="M4" s="127"/>
    </row>
    <row r="5" spans="2:13" ht="27">
      <c r="D5" s="99">
        <v>234</v>
      </c>
      <c r="E5" s="126" t="s">
        <v>118</v>
      </c>
      <c r="F5" s="125">
        <v>255</v>
      </c>
      <c r="G5" s="116" t="s">
        <v>167</v>
      </c>
      <c r="H5" s="325" t="str">
        <f>DEC2BIN(F5,8)</f>
        <v>11111111</v>
      </c>
      <c r="J5" s="589">
        <f>BIN2DEC(H5)</f>
        <v>255</v>
      </c>
    </row>
    <row r="6" spans="2:13" ht="9.75" customHeight="1">
      <c r="J6" s="541"/>
    </row>
    <row r="7" spans="2:13" ht="36.75" thickBot="1">
      <c r="D7" s="103" t="s">
        <v>398</v>
      </c>
      <c r="E7" s="605" t="s">
        <v>399</v>
      </c>
      <c r="F7" s="616">
        <v>6.1440000000000001</v>
      </c>
      <c r="G7" s="588" t="s">
        <v>431</v>
      </c>
      <c r="H7" s="542" t="s">
        <v>400</v>
      </c>
      <c r="J7" s="543">
        <f>SUM(J4:J5)</f>
        <v>32767</v>
      </c>
    </row>
    <row r="8" spans="2:13" ht="15.75" thickTop="1" thickBot="1"/>
    <row r="9" spans="2:13" ht="41.25" customHeight="1" thickTop="1" thickBot="1">
      <c r="D9" s="569"/>
      <c r="E9" s="603" t="s">
        <v>422</v>
      </c>
      <c r="F9" s="604">
        <f>1000*F7/32768</f>
        <v>0.1875</v>
      </c>
      <c r="G9" s="628">
        <f>1000*F7/32767</f>
        <v>0.18750572222052675</v>
      </c>
      <c r="H9" s="614" t="s">
        <v>145</v>
      </c>
    </row>
    <row r="10" spans="2:13" ht="22.5" customHeight="1" thickTop="1" thickBot="1">
      <c r="E10" s="513"/>
      <c r="F10" s="586" t="s">
        <v>455</v>
      </c>
      <c r="G10" s="586" t="s">
        <v>456</v>
      </c>
      <c r="H10" s="587"/>
    </row>
    <row r="11" spans="2:13" ht="25.5" customHeight="1">
      <c r="E11" s="414" t="s">
        <v>432</v>
      </c>
      <c r="F11" s="627">
        <f>F9*1000</f>
        <v>187.5</v>
      </c>
      <c r="G11" s="627">
        <f>G9*1000</f>
        <v>187.50572222052676</v>
      </c>
      <c r="H11" s="613" t="s">
        <v>421</v>
      </c>
      <c r="I11" s="325" t="s">
        <v>435</v>
      </c>
    </row>
    <row r="12" spans="2:13" ht="27" thickBot="1">
      <c r="H12" s="612">
        <f>J7</f>
        <v>32767</v>
      </c>
      <c r="I12" s="600">
        <f>H12/32768</f>
        <v>0.999969482421875</v>
      </c>
      <c r="J12" s="601" t="s">
        <v>401</v>
      </c>
      <c r="K12" s="602"/>
    </row>
    <row r="14" spans="2:13" ht="27.75">
      <c r="E14" s="611" t="s">
        <v>437</v>
      </c>
      <c r="F14" s="590">
        <f>H12*F9</f>
        <v>6143.8125</v>
      </c>
      <c r="G14" s="590">
        <f>H12*G9</f>
        <v>6144</v>
      </c>
      <c r="H14" s="544"/>
      <c r="I14" s="545" t="s">
        <v>145</v>
      </c>
    </row>
    <row r="15" spans="2:13" ht="15" thickBot="1"/>
    <row r="16" spans="2:13" ht="27.75" thickTop="1" thickBot="1">
      <c r="E16" s="630" t="s">
        <v>436</v>
      </c>
      <c r="F16" s="591">
        <f>H12/F14</f>
        <v>5.333333333333333</v>
      </c>
      <c r="G16" s="591">
        <f>H12/G14</f>
        <v>5.333170572916667</v>
      </c>
      <c r="H16" s="607" t="s">
        <v>417</v>
      </c>
    </row>
    <row r="17" spans="1:17" ht="18.75" thickTop="1">
      <c r="F17" s="546"/>
      <c r="H17" s="547"/>
    </row>
    <row r="18" spans="1:17" ht="19.5" customHeight="1">
      <c r="F18" s="617">
        <f>F14/$F$7/1000</f>
        <v>0.999969482421875</v>
      </c>
      <c r="G18" s="617">
        <f>G14/$F$7/1000</f>
        <v>1</v>
      </c>
      <c r="H18" s="608" t="s">
        <v>401</v>
      </c>
    </row>
    <row r="19" spans="1:17" ht="8.25" customHeight="1"/>
    <row r="20" spans="1:17" ht="25.5">
      <c r="E20" s="629" t="str">
        <f>IF(F14/1000&gt;F7,"Vin est supérieur à la valeur Full Scale choisie !","OK, tension d'entrée inférieure à la valeur de Full Scale")</f>
        <v>OK, tension d'entrée inférieure à la valeur de Full Scale</v>
      </c>
    </row>
    <row r="21" spans="1:17" ht="6.75" customHeight="1">
      <c r="E21" s="622"/>
      <c r="H21" s="609"/>
      <c r="I21" s="609"/>
    </row>
    <row r="22" spans="1:17" ht="12" customHeight="1">
      <c r="A22" s="623"/>
      <c r="B22" s="623"/>
      <c r="C22" s="623"/>
      <c r="D22" s="623"/>
      <c r="E22" s="624"/>
      <c r="F22" s="623"/>
      <c r="G22" s="623"/>
      <c r="H22" s="625"/>
      <c r="I22" s="625"/>
      <c r="J22" s="623"/>
      <c r="K22" s="623"/>
      <c r="L22" s="623"/>
      <c r="M22" s="623"/>
    </row>
    <row r="23" spans="1:17" ht="8.25" customHeight="1">
      <c r="F23" s="622"/>
      <c r="H23" s="609"/>
      <c r="I23" s="609"/>
    </row>
    <row r="25" spans="1:17" ht="26.25">
      <c r="D25" s="53" t="s">
        <v>151</v>
      </c>
      <c r="E25" s="1"/>
      <c r="F25" s="1"/>
      <c r="G25" s="1" t="s">
        <v>430</v>
      </c>
      <c r="H25" s="1"/>
    </row>
    <row r="26" spans="1:17" ht="16.5" thickBot="1">
      <c r="D26" s="1"/>
      <c r="E26" s="1"/>
      <c r="F26" s="1"/>
      <c r="G26" s="1"/>
      <c r="H26" s="1"/>
      <c r="J26" s="606" t="s">
        <v>423</v>
      </c>
    </row>
    <row r="27" spans="1:17" ht="24.75" thickTop="1" thickBot="1">
      <c r="D27" s="548"/>
      <c r="E27" s="1"/>
      <c r="F27" s="779" t="s">
        <v>419</v>
      </c>
      <c r="G27" s="780"/>
      <c r="H27" s="781"/>
    </row>
    <row r="28" spans="1:17" ht="28.5" customHeight="1" thickTop="1" thickBot="1">
      <c r="A28" s="99">
        <f>2/3</f>
        <v>0.66666666666666663</v>
      </c>
      <c r="B28" s="102" t="s">
        <v>428</v>
      </c>
      <c r="C28" s="102" t="s">
        <v>402</v>
      </c>
      <c r="D28" s="91" t="s">
        <v>146</v>
      </c>
      <c r="E28" s="570" t="s">
        <v>149</v>
      </c>
      <c r="F28" s="583" t="s">
        <v>418</v>
      </c>
      <c r="G28" s="584" t="s">
        <v>145</v>
      </c>
      <c r="H28" s="585" t="s">
        <v>156</v>
      </c>
      <c r="N28" s="289" t="s">
        <v>308</v>
      </c>
      <c r="O28" s="292" t="s">
        <v>318</v>
      </c>
      <c r="P28" s="292">
        <v>32767</v>
      </c>
      <c r="Q28" s="567" t="s">
        <v>426</v>
      </c>
    </row>
    <row r="29" spans="1:17" ht="18.75">
      <c r="A29" s="99">
        <f t="shared" ref="A29:A30" si="0">$E$30/E29</f>
        <v>0.66666666666666663</v>
      </c>
      <c r="B29" s="565" t="s">
        <v>403</v>
      </c>
      <c r="C29" s="513">
        <v>5.3330000000000002</v>
      </c>
      <c r="D29" s="55" t="s">
        <v>147</v>
      </c>
      <c r="E29" s="571">
        <v>6.1440000000000001</v>
      </c>
      <c r="F29" s="574">
        <f t="shared" ref="F29:F34" si="1">E29/32767</f>
        <v>1.8750572222052677E-4</v>
      </c>
      <c r="G29" s="95">
        <f>F29*1000</f>
        <v>0.18750572222052678</v>
      </c>
      <c r="H29" s="582">
        <f>G29*1000</f>
        <v>187.50572222052676</v>
      </c>
      <c r="N29" s="290" t="s">
        <v>311</v>
      </c>
      <c r="O29" s="293" t="s">
        <v>312</v>
      </c>
      <c r="P29" s="294">
        <v>1</v>
      </c>
      <c r="Q29" s="567" t="s">
        <v>426</v>
      </c>
    </row>
    <row r="30" spans="1:17" ht="19.5" thickBot="1">
      <c r="A30" s="99">
        <f t="shared" si="0"/>
        <v>1</v>
      </c>
      <c r="B30" s="566">
        <v>1</v>
      </c>
      <c r="C30" s="513">
        <v>8</v>
      </c>
      <c r="D30" s="55" t="s">
        <v>153</v>
      </c>
      <c r="E30" s="571">
        <v>4.0960000000000001</v>
      </c>
      <c r="F30" s="576">
        <f t="shared" si="1"/>
        <v>1.2500381481368451E-4</v>
      </c>
      <c r="G30" s="96">
        <f>F30*1000</f>
        <v>0.1250038148136845</v>
      </c>
      <c r="H30" s="575">
        <f t="shared" ref="H30:H34" si="2">G30*1000</f>
        <v>125.0038148136845</v>
      </c>
      <c r="N30" s="619" t="s">
        <v>309</v>
      </c>
      <c r="O30" s="295" t="s">
        <v>319</v>
      </c>
      <c r="P30" s="295">
        <f>65535-32768</f>
        <v>32767</v>
      </c>
      <c r="Q30" s="568" t="s">
        <v>426</v>
      </c>
    </row>
    <row r="31" spans="1:17" ht="18.75" thickBot="1">
      <c r="A31" s="99">
        <f>$E$30/E31</f>
        <v>2</v>
      </c>
      <c r="B31" s="566">
        <v>2</v>
      </c>
      <c r="C31" s="513">
        <v>16</v>
      </c>
      <c r="D31" s="620" t="s">
        <v>148</v>
      </c>
      <c r="E31" s="571">
        <v>2.048</v>
      </c>
      <c r="F31" s="576">
        <f t="shared" si="1"/>
        <v>6.2501907406842255E-5</v>
      </c>
      <c r="G31" s="96">
        <f>F31*1000</f>
        <v>6.250190740684225E-2</v>
      </c>
      <c r="H31" s="575">
        <f t="shared" si="2"/>
        <v>62.50190740684225</v>
      </c>
      <c r="N31" s="522"/>
      <c r="O31" s="292"/>
      <c r="P31" s="250">
        <f>SUM(P28:P30)</f>
        <v>65535</v>
      </c>
      <c r="Q31" s="292" t="str">
        <f>DEC2BIN((P31)/256,8)&amp;DEC2BIN(MOD(P31,256),8)</f>
        <v>1111111111111111</v>
      </c>
    </row>
    <row r="32" spans="1:17" ht="18.75" thickTop="1">
      <c r="A32" s="99">
        <f t="shared" ref="A32:A34" si="3">$E$30/E32</f>
        <v>4</v>
      </c>
      <c r="B32" s="566">
        <v>4</v>
      </c>
      <c r="C32" s="513">
        <v>32</v>
      </c>
      <c r="D32" s="90" t="s">
        <v>154</v>
      </c>
      <c r="E32" s="572">
        <v>1.024</v>
      </c>
      <c r="F32" s="576">
        <f t="shared" si="1"/>
        <v>3.1250953703421128E-5</v>
      </c>
      <c r="G32" s="96">
        <f>F32*1000</f>
        <v>3.1250953703421125E-2</v>
      </c>
      <c r="H32" s="575">
        <f t="shared" si="2"/>
        <v>31.250953703421125</v>
      </c>
      <c r="N32" s="160"/>
      <c r="O32" s="296"/>
      <c r="P32" s="296"/>
      <c r="Q32" s="292" t="s">
        <v>313</v>
      </c>
    </row>
    <row r="33" spans="1:17" ht="18">
      <c r="A33" s="99">
        <f t="shared" si="3"/>
        <v>8</v>
      </c>
      <c r="B33" s="566">
        <v>8</v>
      </c>
      <c r="C33" s="513">
        <v>64</v>
      </c>
      <c r="D33" s="90" t="s">
        <v>155</v>
      </c>
      <c r="E33" s="572">
        <v>0.51200000000000001</v>
      </c>
      <c r="F33" s="578">
        <f t="shared" si="1"/>
        <v>1.5625476851710564E-5</v>
      </c>
      <c r="G33" s="97">
        <f>F33*1000</f>
        <v>1.5625476851710562E-2</v>
      </c>
      <c r="H33" s="575">
        <f t="shared" si="2"/>
        <v>15.625476851710562</v>
      </c>
    </row>
    <row r="34" spans="1:17" ht="18.75" thickBot="1">
      <c r="A34" s="99">
        <f t="shared" si="3"/>
        <v>16</v>
      </c>
      <c r="B34" s="566">
        <v>16</v>
      </c>
      <c r="C34" s="513">
        <v>128</v>
      </c>
      <c r="D34" s="54" t="s">
        <v>150</v>
      </c>
      <c r="E34" s="573">
        <v>0.25600000000000001</v>
      </c>
      <c r="F34" s="579">
        <f t="shared" si="1"/>
        <v>7.8127384258552819E-6</v>
      </c>
      <c r="G34" s="580">
        <f>F34*1000</f>
        <v>7.8127384258552812E-3</v>
      </c>
      <c r="H34" s="581">
        <f t="shared" si="2"/>
        <v>7.8127384258552812</v>
      </c>
    </row>
    <row r="36" spans="1:17" ht="23.25" customHeight="1"/>
    <row r="37" spans="1:17" ht="23.25" customHeight="1"/>
    <row r="39" spans="1:17" ht="15">
      <c r="D39" s="549" t="s">
        <v>429</v>
      </c>
    </row>
    <row r="40" spans="1:17" ht="15">
      <c r="D40" s="549" t="s">
        <v>425</v>
      </c>
      <c r="Q40" s="99" t="s">
        <v>427</v>
      </c>
    </row>
    <row r="41" spans="1:17" ht="21" customHeight="1">
      <c r="D41" s="436" t="s">
        <v>424</v>
      </c>
    </row>
  </sheetData>
  <sheetProtection password="C9A7" sheet="1" objects="1" scenarios="1"/>
  <mergeCells count="1">
    <mergeCell ref="F27:H27"/>
  </mergeCells>
  <conditionalFormatting sqref="D29:H29">
    <cfRule type="expression" dxfId="26" priority="7">
      <formula>$F$7=6.144</formula>
    </cfRule>
  </conditionalFormatting>
  <conditionalFormatting sqref="D30:H30">
    <cfRule type="expression" dxfId="25" priority="6">
      <formula>$F$7=4.096</formula>
    </cfRule>
  </conditionalFormatting>
  <conditionalFormatting sqref="D31:H31">
    <cfRule type="expression" dxfId="24" priority="5">
      <formula>$F$7=2.048</formula>
    </cfRule>
  </conditionalFormatting>
  <conditionalFormatting sqref="D32:H32">
    <cfRule type="expression" dxfId="23" priority="4">
      <formula>$F$7=1.024</formula>
    </cfRule>
  </conditionalFormatting>
  <conditionalFormatting sqref="D33:H33">
    <cfRule type="expression" dxfId="22" priority="3">
      <formula>$F$7=0.512</formula>
    </cfRule>
  </conditionalFormatting>
  <conditionalFormatting sqref="D34:H34">
    <cfRule type="expression" dxfId="21" priority="2">
      <formula>$F$7=0.256</formula>
    </cfRule>
  </conditionalFormatting>
  <conditionalFormatting sqref="E20">
    <cfRule type="expression" dxfId="20" priority="1">
      <formula>$F$14/1000&gt;$F$7</formula>
    </cfRule>
  </conditionalFormatting>
  <dataValidations disablePrompts="1" count="3">
    <dataValidation type="list" allowBlank="1" showInputMessage="1" showErrorMessage="1" sqref="F7">
      <formula1>$E$29:$E$34</formula1>
    </dataValidation>
    <dataValidation type="whole" allowBlank="1" showInputMessage="1" showErrorMessage="1" errorTitle="LSB Value exceeded" error="Valeur Max d'un Byte = 255" sqref="F5">
      <formula1>0</formula1>
      <formula2>255</formula2>
    </dataValidation>
    <dataValidation type="whole" allowBlank="1" showInputMessage="1" showErrorMessage="1" errorTitle="MSB Value exceeded " error="Ce calculateur est limité à la mesure des tensions positives._x000a_           MSB MAX = 127" sqref="F4">
      <formula1>0</formula1>
      <formula2>127</formula2>
    </dataValidation>
  </dataValidations>
  <pageMargins left="0.7" right="0.7" top="0.75" bottom="0.75" header="0.3" footer="0.3"/>
  <pageSetup paperSize="9" orientation="portrait" verticalDpi="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A2:T60"/>
  <sheetViews>
    <sheetView showGridLines="0" workbookViewId="0">
      <selection activeCell="H22" sqref="H22"/>
    </sheetView>
  </sheetViews>
  <sheetFormatPr baseColWidth="10" defaultRowHeight="15"/>
  <cols>
    <col min="1" max="2" width="11.42578125" style="160"/>
    <col min="3" max="3" width="35.7109375" style="160" customWidth="1"/>
    <col min="4" max="16384" width="11.42578125" style="160"/>
  </cols>
  <sheetData>
    <row r="2" spans="1:20" ht="45" customHeight="1"/>
    <row r="3" spans="1:20">
      <c r="C3" s="99"/>
      <c r="D3" s="99"/>
      <c r="E3" s="99"/>
      <c r="G3" s="99"/>
    </row>
    <row r="4" spans="1:20" ht="23.25">
      <c r="C4" s="421" t="s">
        <v>136</v>
      </c>
      <c r="D4" s="99"/>
      <c r="E4" s="99"/>
      <c r="F4" s="99"/>
      <c r="G4" s="99"/>
      <c r="T4" s="422" t="s">
        <v>168</v>
      </c>
    </row>
    <row r="5" spans="1:20">
      <c r="A5" s="423"/>
      <c r="B5" s="424" t="s">
        <v>326</v>
      </c>
      <c r="C5" s="425" t="s">
        <v>202</v>
      </c>
      <c r="D5" s="99"/>
      <c r="E5" s="99"/>
      <c r="F5" s="99"/>
      <c r="G5" s="99"/>
    </row>
    <row r="6" spans="1:20">
      <c r="C6" s="426" t="s">
        <v>137</v>
      </c>
      <c r="D6" s="99"/>
      <c r="E6" s="99"/>
      <c r="F6" s="99"/>
      <c r="G6" s="99"/>
    </row>
    <row r="7" spans="1:20">
      <c r="C7" s="426" t="s">
        <v>126</v>
      </c>
      <c r="D7" s="99"/>
      <c r="E7" s="99"/>
      <c r="F7" s="99"/>
      <c r="G7" s="99"/>
    </row>
    <row r="8" spans="1:20">
      <c r="C8" s="426" t="s">
        <v>127</v>
      </c>
      <c r="D8" s="99"/>
      <c r="E8" s="99"/>
      <c r="F8" s="99"/>
      <c r="G8" s="99"/>
    </row>
    <row r="9" spans="1:20">
      <c r="C9" s="361"/>
      <c r="D9" s="99"/>
      <c r="E9" s="99"/>
      <c r="F9" s="99"/>
      <c r="G9" s="99"/>
    </row>
    <row r="10" spans="1:20">
      <c r="C10" s="421" t="s">
        <v>138</v>
      </c>
      <c r="D10" s="99"/>
      <c r="E10" s="99"/>
      <c r="F10" s="99"/>
      <c r="G10" s="99"/>
    </row>
    <row r="11" spans="1:20">
      <c r="A11" s="423"/>
      <c r="B11" s="424" t="s">
        <v>326</v>
      </c>
      <c r="C11" s="425" t="s">
        <v>200</v>
      </c>
      <c r="D11" s="99"/>
      <c r="E11" s="99"/>
      <c r="F11" s="99"/>
      <c r="G11" s="99"/>
    </row>
    <row r="12" spans="1:20">
      <c r="C12" s="426" t="s">
        <v>143</v>
      </c>
      <c r="D12" s="99"/>
      <c r="E12" s="99"/>
      <c r="F12" s="99"/>
      <c r="G12" s="99"/>
    </row>
    <row r="13" spans="1:20">
      <c r="C13" s="361"/>
      <c r="D13" s="99"/>
      <c r="E13" s="99"/>
      <c r="F13" s="99"/>
      <c r="G13" s="99"/>
    </row>
    <row r="14" spans="1:20">
      <c r="C14" s="421" t="s">
        <v>139</v>
      </c>
      <c r="D14" s="99"/>
      <c r="E14" s="99"/>
      <c r="F14" s="99"/>
      <c r="G14" s="99"/>
    </row>
    <row r="15" spans="1:20">
      <c r="A15" s="423"/>
      <c r="B15" s="424" t="s">
        <v>326</v>
      </c>
      <c r="C15" s="425" t="s">
        <v>201</v>
      </c>
      <c r="D15" s="99"/>
      <c r="E15" s="99"/>
      <c r="F15" s="99"/>
      <c r="G15" s="99"/>
    </row>
    <row r="16" spans="1:20">
      <c r="C16" s="426" t="s">
        <v>140</v>
      </c>
      <c r="D16" s="99"/>
      <c r="E16" s="99"/>
      <c r="F16" s="99"/>
      <c r="G16" s="99"/>
    </row>
    <row r="17" spans="2:15">
      <c r="C17" s="426" t="s">
        <v>141</v>
      </c>
      <c r="D17" s="99"/>
      <c r="E17" s="99"/>
      <c r="F17" s="99"/>
      <c r="G17" s="99"/>
    </row>
    <row r="18" spans="2:15" ht="4.5" customHeight="1">
      <c r="C18" s="426"/>
      <c r="D18" s="99"/>
      <c r="E18" s="99"/>
      <c r="F18" s="99"/>
      <c r="G18" s="99"/>
    </row>
    <row r="19" spans="2:15">
      <c r="C19" s="427" t="s">
        <v>128</v>
      </c>
      <c r="D19" s="99"/>
      <c r="E19" s="99"/>
      <c r="F19" s="99"/>
      <c r="G19" s="99"/>
    </row>
    <row r="20" spans="2:15" ht="8.25" customHeight="1">
      <c r="C20" s="426"/>
      <c r="D20" s="99"/>
      <c r="E20" s="99"/>
      <c r="F20" s="99"/>
      <c r="G20" s="99"/>
    </row>
    <row r="21" spans="2:15">
      <c r="C21" s="428" t="s">
        <v>142</v>
      </c>
      <c r="D21" s="99"/>
      <c r="E21" s="99"/>
      <c r="F21" s="99"/>
      <c r="G21" s="99"/>
    </row>
    <row r="22" spans="2:15">
      <c r="C22" s="428"/>
      <c r="D22" s="99"/>
      <c r="E22" s="99"/>
      <c r="F22" s="99"/>
      <c r="G22" s="99"/>
    </row>
    <row r="23" spans="2:15" ht="16.5">
      <c r="C23" s="429" t="s">
        <v>199</v>
      </c>
      <c r="D23" s="99"/>
      <c r="E23" s="99"/>
      <c r="F23" s="99"/>
      <c r="G23" s="99"/>
    </row>
    <row r="24" spans="2:15" ht="16.5">
      <c r="C24" s="430" t="s">
        <v>203</v>
      </c>
      <c r="D24" s="99"/>
      <c r="E24" s="99"/>
      <c r="F24" s="99"/>
      <c r="G24" s="99"/>
    </row>
    <row r="25" spans="2:15">
      <c r="C25" s="431" t="s">
        <v>204</v>
      </c>
      <c r="D25" s="99"/>
      <c r="E25" s="99"/>
      <c r="F25" s="99"/>
      <c r="G25" s="99"/>
    </row>
    <row r="26" spans="2:15">
      <c r="C26" s="357"/>
      <c r="D26" s="99"/>
      <c r="E26" s="99"/>
      <c r="F26" s="99"/>
      <c r="G26" s="99"/>
    </row>
    <row r="27" spans="2:15" ht="26.25" customHeight="1">
      <c r="B27" s="432"/>
      <c r="C27" s="433" t="s">
        <v>123</v>
      </c>
      <c r="D27" s="434" t="s">
        <v>180</v>
      </c>
      <c r="E27" s="435"/>
      <c r="F27" s="435"/>
      <c r="G27" s="435"/>
      <c r="H27" s="432"/>
      <c r="I27" s="432"/>
      <c r="J27" s="432"/>
      <c r="K27" s="432"/>
      <c r="L27" s="432"/>
      <c r="M27" s="432"/>
      <c r="N27" s="432"/>
      <c r="O27" s="432"/>
    </row>
    <row r="28" spans="2:15" ht="15.75">
      <c r="C28" s="436"/>
      <c r="D28" s="99"/>
      <c r="E28" s="99"/>
      <c r="F28" s="99"/>
      <c r="G28" s="99"/>
    </row>
    <row r="29" spans="2:15" ht="18.75">
      <c r="C29" s="437" t="s">
        <v>170</v>
      </c>
      <c r="E29" s="99"/>
      <c r="F29" s="99"/>
      <c r="G29" s="99"/>
    </row>
    <row r="30" spans="2:15" ht="18.75">
      <c r="C30" s="437" t="s">
        <v>171</v>
      </c>
      <c r="E30" s="99"/>
      <c r="F30" s="99"/>
      <c r="G30" s="99"/>
    </row>
    <row r="31" spans="2:15" ht="18.75">
      <c r="C31" s="437" t="s">
        <v>172</v>
      </c>
      <c r="E31" s="99"/>
      <c r="F31" s="99"/>
      <c r="G31" s="99"/>
    </row>
    <row r="32" spans="2:15" ht="18.75">
      <c r="C32" s="437" t="s">
        <v>173</v>
      </c>
      <c r="E32" s="99"/>
      <c r="F32" s="99"/>
      <c r="G32" s="99"/>
    </row>
    <row r="33" spans="3:7" ht="18.75">
      <c r="C33" s="437"/>
      <c r="E33" s="99"/>
      <c r="F33" s="99"/>
      <c r="G33" s="99"/>
    </row>
    <row r="34" spans="3:7" ht="15.75">
      <c r="C34" s="319" t="s">
        <v>333</v>
      </c>
      <c r="E34" s="99"/>
      <c r="F34" s="99"/>
      <c r="G34" s="99"/>
    </row>
    <row r="35" spans="3:7" ht="26.25">
      <c r="C35" s="319" t="s">
        <v>374</v>
      </c>
      <c r="E35" s="99"/>
      <c r="F35" s="99"/>
      <c r="G35" s="99"/>
    </row>
    <row r="36" spans="3:7" ht="26.25" customHeight="1">
      <c r="C36" s="437" t="s">
        <v>325</v>
      </c>
      <c r="E36" s="99"/>
      <c r="F36" s="99"/>
      <c r="G36" s="99"/>
    </row>
    <row r="37" spans="3:7" ht="18.75">
      <c r="C37" s="438"/>
      <c r="E37" s="99"/>
      <c r="F37" s="99"/>
      <c r="G37" s="99"/>
    </row>
    <row r="38" spans="3:7" ht="18.75">
      <c r="C38" s="439" t="s">
        <v>125</v>
      </c>
      <c r="D38" s="99"/>
      <c r="E38" s="99"/>
      <c r="F38" s="99"/>
      <c r="G38" s="99"/>
    </row>
    <row r="39" spans="3:7" ht="19.5">
      <c r="C39" s="440" t="s">
        <v>179</v>
      </c>
      <c r="E39" s="99"/>
      <c r="F39" s="99"/>
      <c r="G39" s="99"/>
    </row>
    <row r="40" spans="3:7" ht="18.75">
      <c r="C40" s="441" t="s">
        <v>181</v>
      </c>
      <c r="E40" s="99"/>
      <c r="F40" s="99"/>
      <c r="G40" s="99"/>
    </row>
    <row r="41" spans="3:7" ht="19.5">
      <c r="C41" s="440" t="s">
        <v>174</v>
      </c>
      <c r="D41" s="442" t="s">
        <v>324</v>
      </c>
      <c r="E41" s="99"/>
      <c r="F41" s="99"/>
      <c r="G41" s="99"/>
    </row>
    <row r="42" spans="3:7" ht="18.75">
      <c r="C42" s="440" t="s">
        <v>175</v>
      </c>
      <c r="E42" s="99"/>
      <c r="F42" s="99"/>
      <c r="G42" s="99"/>
    </row>
    <row r="43" spans="3:7" ht="19.5">
      <c r="C43" s="443" t="s">
        <v>176</v>
      </c>
      <c r="E43" s="99"/>
      <c r="F43" s="99"/>
      <c r="G43" s="99"/>
    </row>
    <row r="44" spans="3:7" ht="18.75">
      <c r="C44" s="440" t="s">
        <v>124</v>
      </c>
      <c r="E44" s="99"/>
      <c r="F44" s="99"/>
      <c r="G44" s="99"/>
    </row>
    <row r="45" spans="3:7" ht="18.75">
      <c r="C45" s="440" t="s">
        <v>177</v>
      </c>
      <c r="E45" s="99"/>
      <c r="F45" s="99"/>
      <c r="G45" s="99"/>
    </row>
    <row r="46" spans="3:7" ht="18.75">
      <c r="C46" s="444" t="s">
        <v>178</v>
      </c>
      <c r="E46" s="99"/>
      <c r="F46" s="99"/>
      <c r="G46" s="99"/>
    </row>
    <row r="48" spans="3:7" ht="15.75" thickBot="1"/>
    <row r="49" spans="2:14" ht="21.75" customHeight="1">
      <c r="C49" s="782" t="s">
        <v>41</v>
      </c>
      <c r="D49" s="783"/>
    </row>
    <row r="50" spans="2:14" ht="21.75" customHeight="1" thickBot="1">
      <c r="C50" s="784" t="s">
        <v>42</v>
      </c>
      <c r="D50" s="785"/>
    </row>
    <row r="52" spans="2:14" ht="18.75">
      <c r="B52" s="296" t="s">
        <v>159</v>
      </c>
      <c r="C52" s="445" t="s">
        <v>158</v>
      </c>
    </row>
    <row r="53" spans="2:14" ht="18.75">
      <c r="B53" s="296" t="s">
        <v>159</v>
      </c>
      <c r="C53" s="445" t="s">
        <v>157</v>
      </c>
    </row>
    <row r="56" spans="2:14" ht="21">
      <c r="C56" s="446" t="s">
        <v>375</v>
      </c>
    </row>
    <row r="58" spans="2:14" ht="18">
      <c r="C58" s="447" t="s">
        <v>169</v>
      </c>
      <c r="I58" s="160" t="s">
        <v>376</v>
      </c>
      <c r="N58" s="191"/>
    </row>
    <row r="60" spans="2:14" ht="18">
      <c r="C60" s="447" t="s">
        <v>180</v>
      </c>
    </row>
  </sheetData>
  <sheetProtection password="C9A7" sheet="1" objects="1" scenarios="1"/>
  <mergeCells count="2">
    <mergeCell ref="C49:D49"/>
    <mergeCell ref="C50:D50"/>
  </mergeCells>
  <hyperlinks>
    <hyperlink ref="C58" r:id="rId1"/>
    <hyperlink ref="D27" r:id="rId2"/>
    <hyperlink ref="C60" r:id="rId3"/>
  </hyperlinks>
  <pageMargins left="0.7" right="0.7" top="0.75" bottom="0.75" header="0.3" footer="0.3"/>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pageSetUpPr fitToPage="1"/>
  </sheetPr>
  <dimension ref="B1:DC56"/>
  <sheetViews>
    <sheetView showGridLines="0" zoomScale="75" zoomScaleNormal="75" workbookViewId="0">
      <selection activeCell="K16" sqref="K16"/>
    </sheetView>
  </sheetViews>
  <sheetFormatPr baseColWidth="10" defaultRowHeight="14.25"/>
  <cols>
    <col min="1" max="1" width="7.85546875" style="99" customWidth="1"/>
    <col min="2" max="2" width="14.7109375" style="99" bestFit="1" customWidth="1"/>
    <col min="3" max="3" width="14.140625" style="99" bestFit="1" customWidth="1"/>
    <col min="4" max="4" width="11.42578125" style="99"/>
    <col min="5" max="5" width="25.85546875" style="99" bestFit="1" customWidth="1"/>
    <col min="6" max="6" width="4.42578125" style="99" bestFit="1" customWidth="1"/>
    <col min="7" max="7" width="8.140625" style="99" customWidth="1"/>
    <col min="8" max="8" width="13.28515625" style="99" customWidth="1"/>
    <col min="9" max="9" width="19.42578125" style="99" customWidth="1"/>
    <col min="10" max="10" width="17.28515625" style="99" bestFit="1" customWidth="1"/>
    <col min="11" max="11" width="18" style="99" customWidth="1"/>
    <col min="12" max="13" width="13.5703125" style="99" bestFit="1" customWidth="1"/>
    <col min="14" max="14" width="16.5703125" style="99" bestFit="1" customWidth="1"/>
    <col min="15" max="15" width="15.140625" style="99" customWidth="1"/>
    <col min="16" max="32" width="13.5703125" style="99" bestFit="1" customWidth="1"/>
    <col min="33" max="33" width="14" style="99" bestFit="1" customWidth="1"/>
    <col min="34" max="105" width="13.5703125" style="99" bestFit="1" customWidth="1"/>
    <col min="106" max="148" width="6.7109375" style="99" bestFit="1" customWidth="1"/>
    <col min="149" max="174" width="6.85546875" style="99" bestFit="1" customWidth="1"/>
    <col min="175" max="175" width="6.7109375" style="99" bestFit="1" customWidth="1"/>
    <col min="176" max="176" width="5.42578125" style="99" bestFit="1" customWidth="1"/>
    <col min="177" max="16384" width="11.42578125" style="99"/>
  </cols>
  <sheetData>
    <row r="1" spans="2:107">
      <c r="J1" s="322"/>
      <c r="K1" s="322"/>
      <c r="L1" s="322"/>
    </row>
    <row r="2" spans="2:107" ht="6.75" customHeight="1"/>
    <row r="3" spans="2:107" ht="27.75">
      <c r="H3" s="323" t="s">
        <v>206</v>
      </c>
      <c r="J3" s="324" t="s">
        <v>207</v>
      </c>
    </row>
    <row r="4" spans="2:107" ht="26.25">
      <c r="B4" s="101"/>
      <c r="C4" s="812" t="s">
        <v>183</v>
      </c>
      <c r="D4" s="813"/>
      <c r="E4" s="813"/>
      <c r="H4" s="326"/>
      <c r="O4" s="327"/>
    </row>
    <row r="5" spans="2:107" s="101" customFormat="1" ht="18.75" thickBot="1">
      <c r="B5" s="99"/>
      <c r="C5" s="99"/>
      <c r="D5" s="99"/>
      <c r="E5" s="99"/>
      <c r="G5" s="103" t="s">
        <v>212</v>
      </c>
      <c r="H5" s="402">
        <v>2</v>
      </c>
      <c r="I5" s="328" t="s">
        <v>238</v>
      </c>
      <c r="J5" s="329"/>
      <c r="K5" s="329"/>
      <c r="L5" s="329"/>
      <c r="M5" s="329"/>
      <c r="N5" s="329"/>
      <c r="O5" s="329"/>
      <c r="P5" s="329"/>
      <c r="Q5" s="329"/>
      <c r="R5" s="329"/>
      <c r="S5" s="329"/>
      <c r="T5" s="329"/>
      <c r="U5" s="329"/>
      <c r="V5" s="329"/>
      <c r="W5" s="329"/>
      <c r="X5" s="329"/>
      <c r="Y5" s="329"/>
      <c r="Z5" s="329"/>
      <c r="AA5" s="329"/>
      <c r="AB5" s="329"/>
      <c r="AC5" s="9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99"/>
    </row>
    <row r="6" spans="2:107" ht="20.25" thickTop="1" thickBot="1">
      <c r="C6" s="805" t="s">
        <v>149</v>
      </c>
      <c r="D6" s="806"/>
      <c r="E6" s="807"/>
      <c r="H6" s="330" t="s">
        <v>209</v>
      </c>
      <c r="L6" s="331" t="str">
        <f>IF(I13&gt;L7,"Attention Vin Max dépasse la valeur Full-Scale !","OK")</f>
        <v>OK</v>
      </c>
      <c r="N6" s="331"/>
    </row>
    <row r="7" spans="2:107" ht="31.5" thickBot="1">
      <c r="B7" s="332" t="s">
        <v>146</v>
      </c>
      <c r="C7" s="333" t="s">
        <v>213</v>
      </c>
      <c r="D7" s="334" t="s">
        <v>219</v>
      </c>
      <c r="E7" s="335" t="s">
        <v>215</v>
      </c>
      <c r="H7" s="126" t="s">
        <v>217</v>
      </c>
      <c r="I7" s="336">
        <f>VLOOKUP(H5,C8:E13,3)</f>
        <v>16000</v>
      </c>
      <c r="J7" s="337"/>
      <c r="K7" s="100" t="s">
        <v>221</v>
      </c>
      <c r="L7" s="100">
        <f>(VLOOKUP(H5,C8:E13,2))*1000</f>
        <v>2048</v>
      </c>
      <c r="M7" s="100" t="s">
        <v>145</v>
      </c>
      <c r="N7" s="99">
        <f>N8/N9</f>
        <v>3.1250000000000002E-3</v>
      </c>
      <c r="O7" s="99">
        <f t="shared" ref="O7:BZ7" si="0">O8/O9</f>
        <v>3.1250000000000002E-3</v>
      </c>
      <c r="P7" s="99">
        <f t="shared" si="0"/>
        <v>3.1250000000000002E-3</v>
      </c>
      <c r="Q7" s="99">
        <f t="shared" si="0"/>
        <v>3.1250000000000002E-3</v>
      </c>
      <c r="R7" s="99">
        <f t="shared" si="0"/>
        <v>3.1250000000000002E-3</v>
      </c>
      <c r="S7" s="99">
        <f t="shared" si="0"/>
        <v>3.1250000000000002E-3</v>
      </c>
      <c r="T7" s="99">
        <f t="shared" si="0"/>
        <v>3.1250000000000002E-3</v>
      </c>
      <c r="U7" s="99">
        <f t="shared" si="0"/>
        <v>3.1250000000000002E-3</v>
      </c>
      <c r="V7" s="99">
        <f t="shared" si="0"/>
        <v>3.1250000000000002E-3</v>
      </c>
      <c r="W7" s="99">
        <f t="shared" si="0"/>
        <v>3.1250000000000002E-3</v>
      </c>
      <c r="X7" s="99">
        <f t="shared" si="0"/>
        <v>3.1250000000000002E-3</v>
      </c>
      <c r="Y7" s="99">
        <f t="shared" si="0"/>
        <v>3.1250000000000002E-3</v>
      </c>
      <c r="Z7" s="99">
        <f t="shared" si="0"/>
        <v>3.1250000000000002E-3</v>
      </c>
      <c r="AA7" s="99">
        <f t="shared" si="0"/>
        <v>3.1250000000000002E-3</v>
      </c>
      <c r="AB7" s="99">
        <f t="shared" si="0"/>
        <v>3.1250000000000002E-3</v>
      </c>
      <c r="AC7" s="99">
        <f t="shared" si="0"/>
        <v>3.1250000000000002E-3</v>
      </c>
      <c r="AD7" s="99">
        <f t="shared" si="0"/>
        <v>3.1250000000000002E-3</v>
      </c>
      <c r="AE7" s="99">
        <f t="shared" si="0"/>
        <v>3.1250000000000002E-3</v>
      </c>
      <c r="AF7" s="99">
        <f t="shared" si="0"/>
        <v>3.1250000000000002E-3</v>
      </c>
      <c r="AG7" s="99">
        <f t="shared" si="0"/>
        <v>3.1250000000000002E-3</v>
      </c>
      <c r="AH7" s="99">
        <f t="shared" si="0"/>
        <v>3.1250000000000002E-3</v>
      </c>
      <c r="AI7" s="99">
        <f t="shared" si="0"/>
        <v>3.1250000000000002E-3</v>
      </c>
      <c r="AJ7" s="99">
        <f t="shared" si="0"/>
        <v>3.1250000000000002E-3</v>
      </c>
      <c r="AK7" s="99">
        <f t="shared" si="0"/>
        <v>3.1250000000000002E-3</v>
      </c>
      <c r="AL7" s="99">
        <f t="shared" si="0"/>
        <v>3.1250000000000002E-3</v>
      </c>
      <c r="AM7" s="99">
        <f t="shared" si="0"/>
        <v>3.1250000000000002E-3</v>
      </c>
      <c r="AN7" s="99">
        <f t="shared" si="0"/>
        <v>3.1250000000000002E-3</v>
      </c>
      <c r="AO7" s="99">
        <f t="shared" si="0"/>
        <v>3.1250000000000002E-3</v>
      </c>
      <c r="AP7" s="99">
        <f t="shared" si="0"/>
        <v>3.1250000000000002E-3</v>
      </c>
      <c r="AQ7" s="99">
        <f t="shared" si="0"/>
        <v>3.1250000000000002E-3</v>
      </c>
      <c r="AR7" s="99">
        <f t="shared" si="0"/>
        <v>3.1250000000000002E-3</v>
      </c>
      <c r="AS7" s="99">
        <f t="shared" si="0"/>
        <v>3.1250000000000002E-3</v>
      </c>
      <c r="AT7" s="99">
        <f t="shared" si="0"/>
        <v>3.1250000000000002E-3</v>
      </c>
      <c r="AU7" s="99">
        <f t="shared" si="0"/>
        <v>3.1250000000000002E-3</v>
      </c>
      <c r="AV7" s="99">
        <f t="shared" si="0"/>
        <v>3.1250000000000002E-3</v>
      </c>
      <c r="AW7" s="99">
        <f t="shared" si="0"/>
        <v>3.1250000000000002E-3</v>
      </c>
      <c r="AX7" s="99">
        <f t="shared" si="0"/>
        <v>3.1250000000000002E-3</v>
      </c>
      <c r="AY7" s="99">
        <f t="shared" si="0"/>
        <v>3.1250000000000002E-3</v>
      </c>
      <c r="AZ7" s="99">
        <f t="shared" si="0"/>
        <v>3.1250000000000002E-3</v>
      </c>
      <c r="BA7" s="99">
        <f t="shared" si="0"/>
        <v>3.1250000000000002E-3</v>
      </c>
      <c r="BB7" s="99">
        <f t="shared" si="0"/>
        <v>3.1250000000000002E-3</v>
      </c>
      <c r="BC7" s="99">
        <f t="shared" si="0"/>
        <v>3.1250000000000002E-3</v>
      </c>
      <c r="BD7" s="99">
        <f t="shared" si="0"/>
        <v>3.1250000000000002E-3</v>
      </c>
      <c r="BE7" s="99">
        <f t="shared" si="0"/>
        <v>3.1250000000000002E-3</v>
      </c>
      <c r="BF7" s="99">
        <f t="shared" si="0"/>
        <v>3.1250000000000002E-3</v>
      </c>
      <c r="BG7" s="99">
        <f t="shared" si="0"/>
        <v>3.1250000000000002E-3</v>
      </c>
      <c r="BH7" s="99">
        <f t="shared" si="0"/>
        <v>3.1250000000000002E-3</v>
      </c>
      <c r="BI7" s="99">
        <f t="shared" si="0"/>
        <v>3.1250000000000002E-3</v>
      </c>
      <c r="BJ7" s="99">
        <f t="shared" si="0"/>
        <v>3.1250000000000002E-3</v>
      </c>
      <c r="BK7" s="99">
        <f t="shared" si="0"/>
        <v>3.1250000000000002E-3</v>
      </c>
      <c r="BL7" s="99">
        <f t="shared" si="0"/>
        <v>3.1250000000000002E-3</v>
      </c>
      <c r="BM7" s="99">
        <f t="shared" si="0"/>
        <v>3.1250000000000002E-3</v>
      </c>
      <c r="BN7" s="99">
        <f t="shared" si="0"/>
        <v>3.1250000000000002E-3</v>
      </c>
      <c r="BO7" s="99">
        <f t="shared" si="0"/>
        <v>3.1250000000000002E-3</v>
      </c>
      <c r="BP7" s="99">
        <f t="shared" si="0"/>
        <v>3.1250000000000002E-3</v>
      </c>
      <c r="BQ7" s="99">
        <f t="shared" si="0"/>
        <v>3.1250000000000002E-3</v>
      </c>
      <c r="BR7" s="99">
        <f t="shared" si="0"/>
        <v>3.1250000000000002E-3</v>
      </c>
      <c r="BS7" s="99">
        <f t="shared" si="0"/>
        <v>3.1250000000000002E-3</v>
      </c>
      <c r="BT7" s="99">
        <f t="shared" si="0"/>
        <v>3.1250000000000002E-3</v>
      </c>
      <c r="BU7" s="99">
        <f t="shared" si="0"/>
        <v>3.1250000000000002E-3</v>
      </c>
      <c r="BV7" s="99">
        <f t="shared" si="0"/>
        <v>3.1250000000000002E-3</v>
      </c>
      <c r="BW7" s="99">
        <f t="shared" si="0"/>
        <v>3.1250000000000002E-3</v>
      </c>
      <c r="BX7" s="99">
        <f t="shared" si="0"/>
        <v>3.1250000000000002E-3</v>
      </c>
      <c r="BY7" s="99">
        <f t="shared" si="0"/>
        <v>3.1250000000000002E-3</v>
      </c>
      <c r="BZ7" s="99">
        <f t="shared" si="0"/>
        <v>3.1250000000000002E-3</v>
      </c>
      <c r="CA7" s="99">
        <f t="shared" ref="CA7:CY7" si="1">CA8/CA9</f>
        <v>3.1250000000000002E-3</v>
      </c>
      <c r="CB7" s="99">
        <f t="shared" si="1"/>
        <v>3.1250000000000002E-3</v>
      </c>
      <c r="CC7" s="99">
        <f t="shared" si="1"/>
        <v>3.1250000000000002E-3</v>
      </c>
      <c r="CD7" s="99">
        <f t="shared" si="1"/>
        <v>3.1250000000000002E-3</v>
      </c>
      <c r="CE7" s="99">
        <f t="shared" si="1"/>
        <v>3.1250000000000002E-3</v>
      </c>
      <c r="CF7" s="99">
        <f t="shared" si="1"/>
        <v>3.1250000000000002E-3</v>
      </c>
      <c r="CG7" s="99">
        <f t="shared" si="1"/>
        <v>3.1250000000000002E-3</v>
      </c>
      <c r="CH7" s="99">
        <f t="shared" si="1"/>
        <v>3.1250000000000002E-3</v>
      </c>
      <c r="CI7" s="99">
        <f t="shared" si="1"/>
        <v>3.1250000000000002E-3</v>
      </c>
      <c r="CJ7" s="99">
        <f t="shared" si="1"/>
        <v>3.1250000000000002E-3</v>
      </c>
      <c r="CK7" s="99">
        <f t="shared" si="1"/>
        <v>3.1250000000000002E-3</v>
      </c>
      <c r="CL7" s="99">
        <f t="shared" si="1"/>
        <v>3.1250000000000002E-3</v>
      </c>
      <c r="CM7" s="99">
        <f t="shared" si="1"/>
        <v>3.1250000000000002E-3</v>
      </c>
      <c r="CN7" s="99">
        <f t="shared" si="1"/>
        <v>3.1250000000000002E-3</v>
      </c>
      <c r="CO7" s="99">
        <f t="shared" si="1"/>
        <v>3.1250000000000002E-3</v>
      </c>
      <c r="CP7" s="99">
        <f t="shared" si="1"/>
        <v>3.1250000000000002E-3</v>
      </c>
      <c r="CQ7" s="99">
        <f t="shared" si="1"/>
        <v>3.1250000000000002E-3</v>
      </c>
      <c r="CR7" s="99">
        <f t="shared" si="1"/>
        <v>3.1250000000000002E-3</v>
      </c>
      <c r="CS7" s="99">
        <f t="shared" si="1"/>
        <v>3.1250000000000002E-3</v>
      </c>
      <c r="CT7" s="99">
        <f t="shared" si="1"/>
        <v>3.1250000000000002E-3</v>
      </c>
      <c r="CU7" s="99">
        <f t="shared" si="1"/>
        <v>3.1250000000000002E-3</v>
      </c>
      <c r="CV7" s="99">
        <f t="shared" si="1"/>
        <v>3.1250000000000002E-3</v>
      </c>
      <c r="CW7" s="99">
        <f t="shared" si="1"/>
        <v>3.1250000000000002E-3</v>
      </c>
      <c r="CX7" s="99">
        <f t="shared" si="1"/>
        <v>3.1250000000000002E-3</v>
      </c>
      <c r="CY7" s="99">
        <f t="shared" si="1"/>
        <v>3.1250000000000002E-3</v>
      </c>
      <c r="CZ7" s="99">
        <f>CZ8/CZ9</f>
        <v>3.1250000000000002E-3</v>
      </c>
      <c r="DB7" s="350" t="s">
        <v>224</v>
      </c>
      <c r="DC7" s="99" t="s">
        <v>358</v>
      </c>
    </row>
    <row r="8" spans="2:107" s="340" customFormat="1" ht="21" customHeight="1" thickTop="1" thickBot="1">
      <c r="B8" s="492" t="s">
        <v>147</v>
      </c>
      <c r="C8" s="338">
        <f>2/3</f>
        <v>0.66666666666666663</v>
      </c>
      <c r="D8" s="339">
        <v>6.1440000000000001</v>
      </c>
      <c r="E8" s="493">
        <f>32768/D8</f>
        <v>5333.333333333333</v>
      </c>
      <c r="I8" s="509">
        <v>5</v>
      </c>
      <c r="J8" s="509">
        <v>6</v>
      </c>
      <c r="K8" s="509">
        <v>7</v>
      </c>
      <c r="L8" s="509">
        <v>8</v>
      </c>
      <c r="M8" s="509">
        <v>9</v>
      </c>
      <c r="N8" s="509">
        <v>10</v>
      </c>
      <c r="O8" s="509">
        <v>11</v>
      </c>
      <c r="P8" s="509">
        <v>12</v>
      </c>
      <c r="Q8" s="509">
        <v>13</v>
      </c>
      <c r="R8" s="509">
        <v>14</v>
      </c>
      <c r="S8" s="509">
        <v>15</v>
      </c>
      <c r="T8" s="509">
        <v>16</v>
      </c>
      <c r="U8" s="509">
        <v>17</v>
      </c>
      <c r="V8" s="509">
        <v>18</v>
      </c>
      <c r="W8" s="509">
        <v>19</v>
      </c>
      <c r="X8" s="509">
        <v>20</v>
      </c>
      <c r="Y8" s="509">
        <v>21</v>
      </c>
      <c r="Z8" s="509">
        <v>22</v>
      </c>
      <c r="AA8" s="509">
        <v>23</v>
      </c>
      <c r="AB8" s="509">
        <v>24</v>
      </c>
      <c r="AC8" s="509">
        <v>25</v>
      </c>
      <c r="AD8" s="509">
        <v>26</v>
      </c>
      <c r="AE8" s="509">
        <v>27</v>
      </c>
      <c r="AF8" s="509">
        <v>28</v>
      </c>
      <c r="AG8" s="509">
        <v>29</v>
      </c>
      <c r="AH8" s="509">
        <v>30</v>
      </c>
      <c r="AI8" s="509">
        <v>31</v>
      </c>
      <c r="AJ8" s="509">
        <v>32</v>
      </c>
      <c r="AK8" s="509">
        <v>33</v>
      </c>
      <c r="AL8" s="509">
        <v>34</v>
      </c>
      <c r="AM8" s="509">
        <v>35</v>
      </c>
      <c r="AN8" s="509">
        <v>36</v>
      </c>
      <c r="AO8" s="509">
        <v>37</v>
      </c>
      <c r="AP8" s="509">
        <v>38</v>
      </c>
      <c r="AQ8" s="509">
        <v>39</v>
      </c>
      <c r="AR8" s="509">
        <v>40</v>
      </c>
      <c r="AS8" s="509">
        <v>41</v>
      </c>
      <c r="AT8" s="509">
        <v>42</v>
      </c>
      <c r="AU8" s="509">
        <v>43</v>
      </c>
      <c r="AV8" s="509">
        <v>44</v>
      </c>
      <c r="AW8" s="509">
        <v>45</v>
      </c>
      <c r="AX8" s="509">
        <v>46</v>
      </c>
      <c r="AY8" s="509">
        <v>47</v>
      </c>
      <c r="AZ8" s="509">
        <v>48</v>
      </c>
      <c r="BA8" s="509">
        <v>49</v>
      </c>
      <c r="BB8" s="509">
        <v>50</v>
      </c>
      <c r="BC8" s="509">
        <v>51</v>
      </c>
      <c r="BD8" s="509">
        <v>52</v>
      </c>
      <c r="BE8" s="509">
        <v>53</v>
      </c>
      <c r="BF8" s="509">
        <v>54</v>
      </c>
      <c r="BG8" s="509">
        <v>55</v>
      </c>
      <c r="BH8" s="509">
        <v>56</v>
      </c>
      <c r="BI8" s="509">
        <v>57</v>
      </c>
      <c r="BJ8" s="509">
        <v>58</v>
      </c>
      <c r="BK8" s="509">
        <v>59</v>
      </c>
      <c r="BL8" s="509">
        <v>60</v>
      </c>
      <c r="BM8" s="509">
        <v>61</v>
      </c>
      <c r="BN8" s="509">
        <v>62</v>
      </c>
      <c r="BO8" s="509">
        <v>63</v>
      </c>
      <c r="BP8" s="509">
        <v>64</v>
      </c>
      <c r="BQ8" s="509">
        <v>65</v>
      </c>
      <c r="BR8" s="509">
        <v>66</v>
      </c>
      <c r="BS8" s="509">
        <v>67</v>
      </c>
      <c r="BT8" s="509">
        <v>68</v>
      </c>
      <c r="BU8" s="509">
        <v>69</v>
      </c>
      <c r="BV8" s="509">
        <v>70</v>
      </c>
      <c r="BW8" s="509">
        <v>71</v>
      </c>
      <c r="BX8" s="509">
        <v>72</v>
      </c>
      <c r="BY8" s="509">
        <v>73</v>
      </c>
      <c r="BZ8" s="509">
        <v>74</v>
      </c>
      <c r="CA8" s="509">
        <v>75</v>
      </c>
      <c r="CB8" s="509">
        <v>76</v>
      </c>
      <c r="CC8" s="509">
        <v>77</v>
      </c>
      <c r="CD8" s="509">
        <v>78</v>
      </c>
      <c r="CE8" s="509">
        <v>79</v>
      </c>
      <c r="CF8" s="509">
        <v>80</v>
      </c>
      <c r="CG8" s="509">
        <v>81</v>
      </c>
      <c r="CH8" s="509">
        <v>82</v>
      </c>
      <c r="CI8" s="509">
        <v>83</v>
      </c>
      <c r="CJ8" s="509">
        <v>84</v>
      </c>
      <c r="CK8" s="509">
        <v>85</v>
      </c>
      <c r="CL8" s="509">
        <v>86</v>
      </c>
      <c r="CM8" s="509">
        <v>87</v>
      </c>
      <c r="CN8" s="509">
        <v>88</v>
      </c>
      <c r="CO8" s="509">
        <v>89</v>
      </c>
      <c r="CP8" s="509">
        <v>90</v>
      </c>
      <c r="CQ8" s="509">
        <v>91</v>
      </c>
      <c r="CR8" s="509">
        <v>92</v>
      </c>
      <c r="CS8" s="509">
        <v>93</v>
      </c>
      <c r="CT8" s="509">
        <v>94</v>
      </c>
      <c r="CU8" s="509">
        <v>95</v>
      </c>
      <c r="CV8" s="509">
        <v>96</v>
      </c>
      <c r="CW8" s="509">
        <v>97</v>
      </c>
      <c r="CX8" s="509">
        <v>98</v>
      </c>
      <c r="CY8" s="509">
        <v>99</v>
      </c>
      <c r="CZ8" s="509">
        <v>100</v>
      </c>
      <c r="DB8" s="346" t="s">
        <v>182</v>
      </c>
      <c r="DC8" s="340" t="s">
        <v>226</v>
      </c>
    </row>
    <row r="9" spans="2:107" s="340" customFormat="1" ht="21" customHeight="1" thickTop="1" thickBot="1">
      <c r="B9" s="492" t="s">
        <v>153</v>
      </c>
      <c r="C9" s="181">
        <v>1</v>
      </c>
      <c r="D9" s="341">
        <v>4.0960000000000001</v>
      </c>
      <c r="E9" s="494">
        <f>32768/D9</f>
        <v>8000</v>
      </c>
      <c r="H9" s="340" t="s">
        <v>216</v>
      </c>
      <c r="I9" s="342">
        <f>I10*$I$7/1000</f>
        <v>1600</v>
      </c>
      <c r="J9" s="343">
        <f t="shared" ref="J9:BU9" si="2">J10*$I$7/1000</f>
        <v>1920</v>
      </c>
      <c r="K9" s="343">
        <f t="shared" si="2"/>
        <v>2240</v>
      </c>
      <c r="L9" s="343">
        <f t="shared" si="2"/>
        <v>2560</v>
      </c>
      <c r="M9" s="343">
        <f t="shared" si="2"/>
        <v>2880</v>
      </c>
      <c r="N9" s="343">
        <f t="shared" si="2"/>
        <v>3200</v>
      </c>
      <c r="O9" s="343">
        <f t="shared" si="2"/>
        <v>3520</v>
      </c>
      <c r="P9" s="343">
        <f t="shared" si="2"/>
        <v>3840</v>
      </c>
      <c r="Q9" s="343">
        <f t="shared" si="2"/>
        <v>4160</v>
      </c>
      <c r="R9" s="343">
        <f t="shared" si="2"/>
        <v>4480</v>
      </c>
      <c r="S9" s="343">
        <f t="shared" si="2"/>
        <v>4800</v>
      </c>
      <c r="T9" s="343">
        <f t="shared" si="2"/>
        <v>5120</v>
      </c>
      <c r="U9" s="343">
        <f t="shared" si="2"/>
        <v>5440</v>
      </c>
      <c r="V9" s="343">
        <f t="shared" si="2"/>
        <v>5760</v>
      </c>
      <c r="W9" s="343">
        <f t="shared" si="2"/>
        <v>6080</v>
      </c>
      <c r="X9" s="343">
        <f t="shared" si="2"/>
        <v>6400</v>
      </c>
      <c r="Y9" s="343">
        <f t="shared" si="2"/>
        <v>6720</v>
      </c>
      <c r="Z9" s="343">
        <f t="shared" si="2"/>
        <v>7040</v>
      </c>
      <c r="AA9" s="343">
        <f t="shared" si="2"/>
        <v>7360</v>
      </c>
      <c r="AB9" s="343">
        <f t="shared" si="2"/>
        <v>7680</v>
      </c>
      <c r="AC9" s="343">
        <f t="shared" si="2"/>
        <v>8000</v>
      </c>
      <c r="AD9" s="343">
        <f t="shared" si="2"/>
        <v>8320</v>
      </c>
      <c r="AE9" s="343">
        <f t="shared" si="2"/>
        <v>8640</v>
      </c>
      <c r="AF9" s="343">
        <f t="shared" si="2"/>
        <v>8960</v>
      </c>
      <c r="AG9" s="343">
        <f t="shared" si="2"/>
        <v>9280</v>
      </c>
      <c r="AH9" s="343">
        <f t="shared" si="2"/>
        <v>9600</v>
      </c>
      <c r="AI9" s="343">
        <f t="shared" si="2"/>
        <v>9920</v>
      </c>
      <c r="AJ9" s="343">
        <f t="shared" si="2"/>
        <v>10240</v>
      </c>
      <c r="AK9" s="343">
        <f t="shared" si="2"/>
        <v>10560</v>
      </c>
      <c r="AL9" s="343">
        <f t="shared" si="2"/>
        <v>10880</v>
      </c>
      <c r="AM9" s="343">
        <f t="shared" si="2"/>
        <v>11200</v>
      </c>
      <c r="AN9" s="343">
        <f t="shared" si="2"/>
        <v>11520</v>
      </c>
      <c r="AO9" s="343">
        <f t="shared" si="2"/>
        <v>11840</v>
      </c>
      <c r="AP9" s="343">
        <f t="shared" si="2"/>
        <v>12160</v>
      </c>
      <c r="AQ9" s="343">
        <f t="shared" si="2"/>
        <v>12480</v>
      </c>
      <c r="AR9" s="343">
        <f t="shared" si="2"/>
        <v>12800</v>
      </c>
      <c r="AS9" s="343">
        <f t="shared" si="2"/>
        <v>13120</v>
      </c>
      <c r="AT9" s="343">
        <f t="shared" si="2"/>
        <v>13440</v>
      </c>
      <c r="AU9" s="343">
        <f t="shared" si="2"/>
        <v>13760</v>
      </c>
      <c r="AV9" s="343">
        <f t="shared" si="2"/>
        <v>14080</v>
      </c>
      <c r="AW9" s="343">
        <f t="shared" si="2"/>
        <v>14400</v>
      </c>
      <c r="AX9" s="343">
        <f t="shared" si="2"/>
        <v>14720</v>
      </c>
      <c r="AY9" s="343">
        <f t="shared" si="2"/>
        <v>15040</v>
      </c>
      <c r="AZ9" s="343">
        <f t="shared" si="2"/>
        <v>15360</v>
      </c>
      <c r="BA9" s="343">
        <f t="shared" si="2"/>
        <v>15680</v>
      </c>
      <c r="BB9" s="343">
        <f t="shared" si="2"/>
        <v>16000</v>
      </c>
      <c r="BC9" s="343">
        <f t="shared" si="2"/>
        <v>16320</v>
      </c>
      <c r="BD9" s="343">
        <f t="shared" si="2"/>
        <v>16640</v>
      </c>
      <c r="BE9" s="343">
        <f t="shared" si="2"/>
        <v>16960</v>
      </c>
      <c r="BF9" s="343">
        <f t="shared" si="2"/>
        <v>17280</v>
      </c>
      <c r="BG9" s="343">
        <f t="shared" si="2"/>
        <v>17600</v>
      </c>
      <c r="BH9" s="343">
        <f t="shared" si="2"/>
        <v>17920</v>
      </c>
      <c r="BI9" s="343">
        <f t="shared" si="2"/>
        <v>18240</v>
      </c>
      <c r="BJ9" s="343">
        <f t="shared" si="2"/>
        <v>18560</v>
      </c>
      <c r="BK9" s="343">
        <f t="shared" si="2"/>
        <v>18880</v>
      </c>
      <c r="BL9" s="343">
        <f t="shared" si="2"/>
        <v>19200</v>
      </c>
      <c r="BM9" s="343">
        <f t="shared" si="2"/>
        <v>19520</v>
      </c>
      <c r="BN9" s="343">
        <f t="shared" si="2"/>
        <v>19840</v>
      </c>
      <c r="BO9" s="343">
        <f t="shared" si="2"/>
        <v>20160</v>
      </c>
      <c r="BP9" s="343">
        <f t="shared" si="2"/>
        <v>20480</v>
      </c>
      <c r="BQ9" s="343">
        <f t="shared" si="2"/>
        <v>20800</v>
      </c>
      <c r="BR9" s="343">
        <f t="shared" si="2"/>
        <v>21120</v>
      </c>
      <c r="BS9" s="343">
        <f t="shared" si="2"/>
        <v>21440</v>
      </c>
      <c r="BT9" s="343">
        <f t="shared" si="2"/>
        <v>21760</v>
      </c>
      <c r="BU9" s="343">
        <f t="shared" si="2"/>
        <v>22080</v>
      </c>
      <c r="BV9" s="343">
        <f t="shared" ref="BV9:CY9" si="3">BV10*$I$7/1000</f>
        <v>22400</v>
      </c>
      <c r="BW9" s="343">
        <f t="shared" si="3"/>
        <v>22720</v>
      </c>
      <c r="BX9" s="343">
        <f t="shared" si="3"/>
        <v>23040</v>
      </c>
      <c r="BY9" s="343">
        <f t="shared" si="3"/>
        <v>23360</v>
      </c>
      <c r="BZ9" s="343">
        <f t="shared" si="3"/>
        <v>23680</v>
      </c>
      <c r="CA9" s="343">
        <f t="shared" si="3"/>
        <v>24000</v>
      </c>
      <c r="CB9" s="343">
        <f t="shared" si="3"/>
        <v>24320</v>
      </c>
      <c r="CC9" s="343">
        <f t="shared" si="3"/>
        <v>24640</v>
      </c>
      <c r="CD9" s="343">
        <f t="shared" si="3"/>
        <v>24960</v>
      </c>
      <c r="CE9" s="343">
        <f t="shared" si="3"/>
        <v>25280</v>
      </c>
      <c r="CF9" s="343">
        <f t="shared" si="3"/>
        <v>25600</v>
      </c>
      <c r="CG9" s="343">
        <f t="shared" si="3"/>
        <v>25920</v>
      </c>
      <c r="CH9" s="343">
        <f t="shared" si="3"/>
        <v>26240</v>
      </c>
      <c r="CI9" s="343">
        <f t="shared" si="3"/>
        <v>26560</v>
      </c>
      <c r="CJ9" s="343">
        <f t="shared" si="3"/>
        <v>26880</v>
      </c>
      <c r="CK9" s="343">
        <f t="shared" si="3"/>
        <v>27200</v>
      </c>
      <c r="CL9" s="343">
        <f t="shared" si="3"/>
        <v>27520</v>
      </c>
      <c r="CM9" s="343">
        <f t="shared" si="3"/>
        <v>27840</v>
      </c>
      <c r="CN9" s="343">
        <f t="shared" si="3"/>
        <v>28160</v>
      </c>
      <c r="CO9" s="343">
        <f t="shared" si="3"/>
        <v>28480</v>
      </c>
      <c r="CP9" s="343">
        <f t="shared" si="3"/>
        <v>28800</v>
      </c>
      <c r="CQ9" s="343">
        <f t="shared" si="3"/>
        <v>29120</v>
      </c>
      <c r="CR9" s="343">
        <f t="shared" si="3"/>
        <v>29440</v>
      </c>
      <c r="CS9" s="343">
        <f t="shared" si="3"/>
        <v>29760</v>
      </c>
      <c r="CT9" s="343">
        <f t="shared" si="3"/>
        <v>30080</v>
      </c>
      <c r="CU9" s="343">
        <f t="shared" si="3"/>
        <v>30400</v>
      </c>
      <c r="CV9" s="343">
        <f t="shared" si="3"/>
        <v>30720</v>
      </c>
      <c r="CW9" s="343">
        <f t="shared" si="3"/>
        <v>31040</v>
      </c>
      <c r="CX9" s="343">
        <f t="shared" si="3"/>
        <v>31360</v>
      </c>
      <c r="CY9" s="343">
        <f t="shared" si="3"/>
        <v>31680</v>
      </c>
      <c r="CZ9" s="344">
        <f>CZ10*$I$7/1000</f>
        <v>32000</v>
      </c>
      <c r="DA9" s="345">
        <f>DA10*$I$7/1000</f>
        <v>32768</v>
      </c>
      <c r="DB9" s="346" t="s">
        <v>220</v>
      </c>
      <c r="DC9" s="340" t="s">
        <v>225</v>
      </c>
    </row>
    <row r="10" spans="2:107" s="340" customFormat="1" ht="21" customHeight="1" thickTop="1">
      <c r="B10" s="495" t="s">
        <v>148</v>
      </c>
      <c r="C10" s="347">
        <v>2</v>
      </c>
      <c r="D10" s="348">
        <v>2.048</v>
      </c>
      <c r="E10" s="494">
        <f t="shared" ref="E10:E13" si="4">32768/D10</f>
        <v>16000</v>
      </c>
      <c r="H10" s="340" t="s">
        <v>223</v>
      </c>
      <c r="I10" s="510">
        <v>100</v>
      </c>
      <c r="J10" s="510">
        <v>120</v>
      </c>
      <c r="K10" s="510">
        <v>140</v>
      </c>
      <c r="L10" s="510">
        <v>160</v>
      </c>
      <c r="M10" s="510">
        <v>180</v>
      </c>
      <c r="N10" s="510">
        <v>200</v>
      </c>
      <c r="O10" s="510">
        <v>220</v>
      </c>
      <c r="P10" s="510">
        <v>240</v>
      </c>
      <c r="Q10" s="510">
        <v>260</v>
      </c>
      <c r="R10" s="510">
        <v>280</v>
      </c>
      <c r="S10" s="510">
        <v>300</v>
      </c>
      <c r="T10" s="510">
        <v>320</v>
      </c>
      <c r="U10" s="510">
        <v>340</v>
      </c>
      <c r="V10" s="510">
        <v>360</v>
      </c>
      <c r="W10" s="510">
        <v>380</v>
      </c>
      <c r="X10" s="510">
        <v>400</v>
      </c>
      <c r="Y10" s="510">
        <v>420</v>
      </c>
      <c r="Z10" s="510">
        <v>440</v>
      </c>
      <c r="AA10" s="510">
        <v>460</v>
      </c>
      <c r="AB10" s="510">
        <v>480</v>
      </c>
      <c r="AC10" s="510">
        <v>500</v>
      </c>
      <c r="AD10" s="510">
        <v>520</v>
      </c>
      <c r="AE10" s="510">
        <v>540</v>
      </c>
      <c r="AF10" s="510">
        <v>560</v>
      </c>
      <c r="AG10" s="510">
        <v>580</v>
      </c>
      <c r="AH10" s="510">
        <v>600</v>
      </c>
      <c r="AI10" s="510">
        <v>620</v>
      </c>
      <c r="AJ10" s="510">
        <v>640</v>
      </c>
      <c r="AK10" s="510">
        <v>660</v>
      </c>
      <c r="AL10" s="510">
        <v>680</v>
      </c>
      <c r="AM10" s="510">
        <v>700</v>
      </c>
      <c r="AN10" s="510">
        <v>720</v>
      </c>
      <c r="AO10" s="510">
        <v>740</v>
      </c>
      <c r="AP10" s="510">
        <v>760</v>
      </c>
      <c r="AQ10" s="510">
        <v>780</v>
      </c>
      <c r="AR10" s="510">
        <v>800</v>
      </c>
      <c r="AS10" s="510">
        <v>820</v>
      </c>
      <c r="AT10" s="510">
        <v>840</v>
      </c>
      <c r="AU10" s="510">
        <v>860</v>
      </c>
      <c r="AV10" s="510">
        <v>880</v>
      </c>
      <c r="AW10" s="510">
        <v>900</v>
      </c>
      <c r="AX10" s="510">
        <v>920</v>
      </c>
      <c r="AY10" s="510">
        <v>940</v>
      </c>
      <c r="AZ10" s="510">
        <v>960</v>
      </c>
      <c r="BA10" s="510">
        <v>980</v>
      </c>
      <c r="BB10" s="510">
        <v>1000</v>
      </c>
      <c r="BC10" s="510">
        <v>1020</v>
      </c>
      <c r="BD10" s="510">
        <v>1040</v>
      </c>
      <c r="BE10" s="510">
        <v>1060</v>
      </c>
      <c r="BF10" s="510">
        <v>1080</v>
      </c>
      <c r="BG10" s="510">
        <v>1100</v>
      </c>
      <c r="BH10" s="510">
        <v>1120</v>
      </c>
      <c r="BI10" s="510">
        <v>1140</v>
      </c>
      <c r="BJ10" s="510">
        <v>1160</v>
      </c>
      <c r="BK10" s="510">
        <v>1180</v>
      </c>
      <c r="BL10" s="510">
        <v>1200</v>
      </c>
      <c r="BM10" s="510">
        <v>1220</v>
      </c>
      <c r="BN10" s="510">
        <v>1240</v>
      </c>
      <c r="BO10" s="510">
        <v>1260</v>
      </c>
      <c r="BP10" s="510">
        <v>1280</v>
      </c>
      <c r="BQ10" s="510">
        <v>1300</v>
      </c>
      <c r="BR10" s="510">
        <v>1320</v>
      </c>
      <c r="BS10" s="510">
        <v>1340</v>
      </c>
      <c r="BT10" s="510">
        <v>1360</v>
      </c>
      <c r="BU10" s="510">
        <v>1380</v>
      </c>
      <c r="BV10" s="510">
        <v>1400</v>
      </c>
      <c r="BW10" s="510">
        <v>1420</v>
      </c>
      <c r="BX10" s="510">
        <v>1440</v>
      </c>
      <c r="BY10" s="510">
        <v>1460</v>
      </c>
      <c r="BZ10" s="510">
        <v>1480</v>
      </c>
      <c r="CA10" s="510">
        <v>1500</v>
      </c>
      <c r="CB10" s="510">
        <v>1520</v>
      </c>
      <c r="CC10" s="510">
        <v>1540</v>
      </c>
      <c r="CD10" s="510">
        <v>1560</v>
      </c>
      <c r="CE10" s="510">
        <v>1580</v>
      </c>
      <c r="CF10" s="510">
        <v>1600</v>
      </c>
      <c r="CG10" s="510">
        <v>1620</v>
      </c>
      <c r="CH10" s="510">
        <v>1640</v>
      </c>
      <c r="CI10" s="510">
        <v>1660</v>
      </c>
      <c r="CJ10" s="510">
        <v>1680</v>
      </c>
      <c r="CK10" s="510">
        <v>1700</v>
      </c>
      <c r="CL10" s="510">
        <v>1720</v>
      </c>
      <c r="CM10" s="510">
        <v>1740</v>
      </c>
      <c r="CN10" s="510">
        <v>1760</v>
      </c>
      <c r="CO10" s="510">
        <v>1780</v>
      </c>
      <c r="CP10" s="510">
        <v>1800</v>
      </c>
      <c r="CQ10" s="510">
        <v>1820</v>
      </c>
      <c r="CR10" s="510">
        <v>1840</v>
      </c>
      <c r="CS10" s="510">
        <v>1860</v>
      </c>
      <c r="CT10" s="510">
        <v>1880</v>
      </c>
      <c r="CU10" s="510">
        <v>1900</v>
      </c>
      <c r="CV10" s="510">
        <v>1920</v>
      </c>
      <c r="CW10" s="510">
        <v>1940</v>
      </c>
      <c r="CX10" s="510">
        <v>1960</v>
      </c>
      <c r="CY10" s="510">
        <v>1980</v>
      </c>
      <c r="CZ10" s="510">
        <v>2000</v>
      </c>
      <c r="DA10" s="345">
        <f>L7</f>
        <v>2048</v>
      </c>
      <c r="DB10" s="346" t="s">
        <v>145</v>
      </c>
    </row>
    <row r="11" spans="2:107" s="452" customFormat="1" ht="21" customHeight="1">
      <c r="B11" s="496" t="s">
        <v>154</v>
      </c>
      <c r="C11" s="190">
        <v>4</v>
      </c>
      <c r="D11" s="349">
        <v>1.024</v>
      </c>
      <c r="E11" s="351">
        <f t="shared" si="4"/>
        <v>32000</v>
      </c>
      <c r="H11" s="452" t="s">
        <v>240</v>
      </c>
      <c r="I11" s="511">
        <f>I9/I10</f>
        <v>16</v>
      </c>
      <c r="J11" s="452">
        <f t="shared" ref="J11:AN11" si="5">J9/J10</f>
        <v>16</v>
      </c>
      <c r="K11" s="452">
        <f t="shared" si="5"/>
        <v>16</v>
      </c>
      <c r="L11" s="452">
        <f t="shared" si="5"/>
        <v>16</v>
      </c>
      <c r="M11" s="452">
        <f t="shared" si="5"/>
        <v>16</v>
      </c>
      <c r="N11" s="452">
        <f t="shared" si="5"/>
        <v>16</v>
      </c>
      <c r="O11" s="452">
        <f t="shared" si="5"/>
        <v>16</v>
      </c>
      <c r="P11" s="452">
        <f t="shared" si="5"/>
        <v>16</v>
      </c>
      <c r="Q11" s="452">
        <f t="shared" si="5"/>
        <v>16</v>
      </c>
      <c r="R11" s="452">
        <f t="shared" si="5"/>
        <v>16</v>
      </c>
      <c r="S11" s="452">
        <f t="shared" si="5"/>
        <v>16</v>
      </c>
      <c r="T11" s="452">
        <f t="shared" si="5"/>
        <v>16</v>
      </c>
      <c r="U11" s="452">
        <f t="shared" si="5"/>
        <v>16</v>
      </c>
      <c r="V11" s="452">
        <f t="shared" si="5"/>
        <v>16</v>
      </c>
      <c r="W11" s="452">
        <f t="shared" si="5"/>
        <v>16</v>
      </c>
      <c r="X11" s="452">
        <f t="shared" si="5"/>
        <v>16</v>
      </c>
      <c r="Y11" s="452">
        <f t="shared" si="5"/>
        <v>16</v>
      </c>
      <c r="Z11" s="452">
        <f t="shared" si="5"/>
        <v>16</v>
      </c>
      <c r="AA11" s="452">
        <f t="shared" si="5"/>
        <v>16</v>
      </c>
      <c r="AB11" s="452">
        <f t="shared" si="5"/>
        <v>16</v>
      </c>
      <c r="AC11" s="452">
        <f t="shared" si="5"/>
        <v>16</v>
      </c>
      <c r="AD11" s="452">
        <f t="shared" si="5"/>
        <v>16</v>
      </c>
      <c r="AE11" s="452">
        <f t="shared" si="5"/>
        <v>16</v>
      </c>
      <c r="AF11" s="452">
        <f t="shared" si="5"/>
        <v>16</v>
      </c>
      <c r="AG11" s="452">
        <f t="shared" si="5"/>
        <v>16</v>
      </c>
      <c r="AH11" s="452">
        <f t="shared" si="5"/>
        <v>16</v>
      </c>
      <c r="AI11" s="452">
        <f t="shared" si="5"/>
        <v>16</v>
      </c>
      <c r="AJ11" s="452">
        <f t="shared" si="5"/>
        <v>16</v>
      </c>
      <c r="AK11" s="452">
        <f t="shared" si="5"/>
        <v>16</v>
      </c>
      <c r="AL11" s="452">
        <f t="shared" si="5"/>
        <v>16</v>
      </c>
      <c r="AM11" s="452">
        <f t="shared" si="5"/>
        <v>16</v>
      </c>
      <c r="AN11" s="452">
        <f t="shared" si="5"/>
        <v>16</v>
      </c>
      <c r="AO11" s="452">
        <f t="shared" ref="AO11:BT11" si="6">AO9/AO10</f>
        <v>16</v>
      </c>
      <c r="AP11" s="452">
        <f t="shared" si="6"/>
        <v>16</v>
      </c>
      <c r="AQ11" s="452">
        <f t="shared" si="6"/>
        <v>16</v>
      </c>
      <c r="AR11" s="452">
        <f t="shared" si="6"/>
        <v>16</v>
      </c>
      <c r="AS11" s="452">
        <f t="shared" si="6"/>
        <v>16</v>
      </c>
      <c r="AT11" s="452">
        <f t="shared" si="6"/>
        <v>16</v>
      </c>
      <c r="AU11" s="452">
        <f t="shared" si="6"/>
        <v>16</v>
      </c>
      <c r="AV11" s="452">
        <f t="shared" si="6"/>
        <v>16</v>
      </c>
      <c r="AW11" s="452">
        <f t="shared" si="6"/>
        <v>16</v>
      </c>
      <c r="AX11" s="452">
        <f t="shared" si="6"/>
        <v>16</v>
      </c>
      <c r="AY11" s="452">
        <f t="shared" si="6"/>
        <v>16</v>
      </c>
      <c r="AZ11" s="452">
        <f t="shared" si="6"/>
        <v>16</v>
      </c>
      <c r="BA11" s="452">
        <f t="shared" si="6"/>
        <v>16</v>
      </c>
      <c r="BB11" s="452">
        <f t="shared" si="6"/>
        <v>16</v>
      </c>
      <c r="BC11" s="452">
        <f t="shared" si="6"/>
        <v>16</v>
      </c>
      <c r="BD11" s="452">
        <f t="shared" si="6"/>
        <v>16</v>
      </c>
      <c r="BE11" s="452">
        <f t="shared" si="6"/>
        <v>16</v>
      </c>
      <c r="BF11" s="452">
        <f t="shared" si="6"/>
        <v>16</v>
      </c>
      <c r="BG11" s="452">
        <f t="shared" si="6"/>
        <v>16</v>
      </c>
      <c r="BH11" s="452">
        <f t="shared" si="6"/>
        <v>16</v>
      </c>
      <c r="BI11" s="452">
        <f t="shared" si="6"/>
        <v>16</v>
      </c>
      <c r="BJ11" s="452">
        <f t="shared" si="6"/>
        <v>16</v>
      </c>
      <c r="BK11" s="452">
        <f t="shared" si="6"/>
        <v>16</v>
      </c>
      <c r="BL11" s="452">
        <f t="shared" si="6"/>
        <v>16</v>
      </c>
      <c r="BM11" s="452">
        <f t="shared" si="6"/>
        <v>16</v>
      </c>
      <c r="BN11" s="452">
        <f t="shared" si="6"/>
        <v>16</v>
      </c>
      <c r="BO11" s="452">
        <f t="shared" si="6"/>
        <v>16</v>
      </c>
      <c r="BP11" s="452">
        <f t="shared" si="6"/>
        <v>16</v>
      </c>
      <c r="BQ11" s="452">
        <f t="shared" si="6"/>
        <v>16</v>
      </c>
      <c r="BR11" s="452">
        <f t="shared" si="6"/>
        <v>16</v>
      </c>
      <c r="BS11" s="452">
        <f t="shared" si="6"/>
        <v>16</v>
      </c>
      <c r="BT11" s="452">
        <f t="shared" si="6"/>
        <v>16</v>
      </c>
      <c r="BU11" s="452">
        <f t="shared" ref="BU11:CZ11" si="7">BU9/BU10</f>
        <v>16</v>
      </c>
      <c r="BV11" s="452">
        <f t="shared" si="7"/>
        <v>16</v>
      </c>
      <c r="BW11" s="452">
        <f t="shared" si="7"/>
        <v>16</v>
      </c>
      <c r="BX11" s="452">
        <f t="shared" si="7"/>
        <v>16</v>
      </c>
      <c r="BY11" s="452">
        <f t="shared" si="7"/>
        <v>16</v>
      </c>
      <c r="BZ11" s="452">
        <f t="shared" si="7"/>
        <v>16</v>
      </c>
      <c r="CA11" s="452">
        <f t="shared" si="7"/>
        <v>16</v>
      </c>
      <c r="CB11" s="452">
        <f t="shared" si="7"/>
        <v>16</v>
      </c>
      <c r="CC11" s="452">
        <f t="shared" si="7"/>
        <v>16</v>
      </c>
      <c r="CD11" s="452">
        <f t="shared" si="7"/>
        <v>16</v>
      </c>
      <c r="CE11" s="452">
        <f t="shared" si="7"/>
        <v>16</v>
      </c>
      <c r="CF11" s="452">
        <f t="shared" si="7"/>
        <v>16</v>
      </c>
      <c r="CG11" s="452">
        <f t="shared" si="7"/>
        <v>16</v>
      </c>
      <c r="CH11" s="452">
        <f t="shared" si="7"/>
        <v>16</v>
      </c>
      <c r="CI11" s="452">
        <f t="shared" si="7"/>
        <v>16</v>
      </c>
      <c r="CJ11" s="452">
        <f t="shared" si="7"/>
        <v>16</v>
      </c>
      <c r="CK11" s="452">
        <f t="shared" si="7"/>
        <v>16</v>
      </c>
      <c r="CL11" s="452">
        <f t="shared" si="7"/>
        <v>16</v>
      </c>
      <c r="CM11" s="452">
        <f t="shared" si="7"/>
        <v>16</v>
      </c>
      <c r="CN11" s="452">
        <f t="shared" si="7"/>
        <v>16</v>
      </c>
      <c r="CO11" s="452">
        <f t="shared" si="7"/>
        <v>16</v>
      </c>
      <c r="CP11" s="452">
        <f t="shared" si="7"/>
        <v>16</v>
      </c>
      <c r="CQ11" s="452">
        <f t="shared" si="7"/>
        <v>16</v>
      </c>
      <c r="CR11" s="452">
        <f t="shared" si="7"/>
        <v>16</v>
      </c>
      <c r="CS11" s="452">
        <f t="shared" si="7"/>
        <v>16</v>
      </c>
      <c r="CT11" s="452">
        <f t="shared" si="7"/>
        <v>16</v>
      </c>
      <c r="CU11" s="452">
        <f t="shared" si="7"/>
        <v>16</v>
      </c>
      <c r="CV11" s="452">
        <f t="shared" si="7"/>
        <v>16</v>
      </c>
      <c r="CW11" s="452">
        <f t="shared" si="7"/>
        <v>16</v>
      </c>
      <c r="CX11" s="452">
        <f t="shared" si="7"/>
        <v>16</v>
      </c>
      <c r="CY11" s="452">
        <f t="shared" si="7"/>
        <v>16</v>
      </c>
      <c r="CZ11" s="452">
        <f t="shared" si="7"/>
        <v>16</v>
      </c>
      <c r="DA11" s="345">
        <f>DA9/DA10</f>
        <v>16</v>
      </c>
      <c r="DB11" s="504" t="s">
        <v>224</v>
      </c>
      <c r="DC11" s="452" t="s">
        <v>240</v>
      </c>
    </row>
    <row r="12" spans="2:107" s="452" customFormat="1" ht="21" customHeight="1" thickBot="1">
      <c r="B12" s="496" t="s">
        <v>155</v>
      </c>
      <c r="C12" s="190">
        <v>8</v>
      </c>
      <c r="D12" s="349">
        <v>0.51200000000000001</v>
      </c>
      <c r="E12" s="351">
        <f t="shared" si="4"/>
        <v>64000</v>
      </c>
      <c r="H12" s="452" t="s">
        <v>241</v>
      </c>
      <c r="I12" s="511">
        <f>I9/I8</f>
        <v>320</v>
      </c>
      <c r="J12" s="452">
        <f t="shared" ref="J12:BU12" si="8">J9/J8</f>
        <v>320</v>
      </c>
      <c r="K12" s="452">
        <f t="shared" si="8"/>
        <v>320</v>
      </c>
      <c r="L12" s="452">
        <f t="shared" si="8"/>
        <v>320</v>
      </c>
      <c r="M12" s="452">
        <f t="shared" si="8"/>
        <v>320</v>
      </c>
      <c r="N12" s="452">
        <f t="shared" si="8"/>
        <v>320</v>
      </c>
      <c r="O12" s="452">
        <f t="shared" si="8"/>
        <v>320</v>
      </c>
      <c r="P12" s="452">
        <f t="shared" si="8"/>
        <v>320</v>
      </c>
      <c r="Q12" s="452">
        <f t="shared" si="8"/>
        <v>320</v>
      </c>
      <c r="R12" s="452">
        <f t="shared" si="8"/>
        <v>320</v>
      </c>
      <c r="S12" s="452">
        <f t="shared" si="8"/>
        <v>320</v>
      </c>
      <c r="T12" s="452">
        <f t="shared" si="8"/>
        <v>320</v>
      </c>
      <c r="U12" s="452">
        <f t="shared" si="8"/>
        <v>320</v>
      </c>
      <c r="V12" s="452">
        <f t="shared" si="8"/>
        <v>320</v>
      </c>
      <c r="W12" s="452">
        <f t="shared" si="8"/>
        <v>320</v>
      </c>
      <c r="X12" s="452">
        <f t="shared" si="8"/>
        <v>320</v>
      </c>
      <c r="Y12" s="452">
        <f t="shared" si="8"/>
        <v>320</v>
      </c>
      <c r="Z12" s="452">
        <f t="shared" si="8"/>
        <v>320</v>
      </c>
      <c r="AA12" s="452">
        <f t="shared" si="8"/>
        <v>320</v>
      </c>
      <c r="AB12" s="452">
        <f t="shared" si="8"/>
        <v>320</v>
      </c>
      <c r="AC12" s="452">
        <f t="shared" si="8"/>
        <v>320</v>
      </c>
      <c r="AD12" s="452">
        <f t="shared" si="8"/>
        <v>320</v>
      </c>
      <c r="AE12" s="452">
        <f t="shared" si="8"/>
        <v>320</v>
      </c>
      <c r="AF12" s="452">
        <f t="shared" si="8"/>
        <v>320</v>
      </c>
      <c r="AG12" s="452">
        <f t="shared" si="8"/>
        <v>320</v>
      </c>
      <c r="AH12" s="452">
        <f t="shared" si="8"/>
        <v>320</v>
      </c>
      <c r="AI12" s="452">
        <f t="shared" si="8"/>
        <v>320</v>
      </c>
      <c r="AJ12" s="452">
        <f t="shared" si="8"/>
        <v>320</v>
      </c>
      <c r="AK12" s="452">
        <f t="shared" si="8"/>
        <v>320</v>
      </c>
      <c r="AL12" s="452">
        <f t="shared" si="8"/>
        <v>320</v>
      </c>
      <c r="AM12" s="452">
        <f t="shared" si="8"/>
        <v>320</v>
      </c>
      <c r="AN12" s="452">
        <f t="shared" si="8"/>
        <v>320</v>
      </c>
      <c r="AO12" s="452">
        <f t="shared" si="8"/>
        <v>320</v>
      </c>
      <c r="AP12" s="452">
        <f t="shared" si="8"/>
        <v>320</v>
      </c>
      <c r="AQ12" s="452">
        <f t="shared" si="8"/>
        <v>320</v>
      </c>
      <c r="AR12" s="452">
        <f t="shared" si="8"/>
        <v>320</v>
      </c>
      <c r="AS12" s="452">
        <f t="shared" si="8"/>
        <v>320</v>
      </c>
      <c r="AT12" s="452">
        <f t="shared" si="8"/>
        <v>320</v>
      </c>
      <c r="AU12" s="452">
        <f t="shared" si="8"/>
        <v>320</v>
      </c>
      <c r="AV12" s="452">
        <f t="shared" si="8"/>
        <v>320</v>
      </c>
      <c r="AW12" s="452">
        <f t="shared" si="8"/>
        <v>320</v>
      </c>
      <c r="AX12" s="452">
        <f t="shared" si="8"/>
        <v>320</v>
      </c>
      <c r="AY12" s="452">
        <f t="shared" si="8"/>
        <v>320</v>
      </c>
      <c r="AZ12" s="452">
        <f t="shared" si="8"/>
        <v>320</v>
      </c>
      <c r="BA12" s="452">
        <f t="shared" si="8"/>
        <v>320</v>
      </c>
      <c r="BB12" s="452">
        <f t="shared" si="8"/>
        <v>320</v>
      </c>
      <c r="BC12" s="452">
        <f t="shared" si="8"/>
        <v>320</v>
      </c>
      <c r="BD12" s="452">
        <f t="shared" si="8"/>
        <v>320</v>
      </c>
      <c r="BE12" s="452">
        <f t="shared" si="8"/>
        <v>320</v>
      </c>
      <c r="BF12" s="452">
        <f t="shared" si="8"/>
        <v>320</v>
      </c>
      <c r="BG12" s="452">
        <f t="shared" si="8"/>
        <v>320</v>
      </c>
      <c r="BH12" s="452">
        <f t="shared" si="8"/>
        <v>320</v>
      </c>
      <c r="BI12" s="452">
        <f t="shared" si="8"/>
        <v>320</v>
      </c>
      <c r="BJ12" s="452">
        <f t="shared" si="8"/>
        <v>320</v>
      </c>
      <c r="BK12" s="452">
        <f t="shared" si="8"/>
        <v>320</v>
      </c>
      <c r="BL12" s="452">
        <f t="shared" si="8"/>
        <v>320</v>
      </c>
      <c r="BM12" s="452">
        <f t="shared" si="8"/>
        <v>320</v>
      </c>
      <c r="BN12" s="452">
        <f t="shared" si="8"/>
        <v>320</v>
      </c>
      <c r="BO12" s="452">
        <f t="shared" si="8"/>
        <v>320</v>
      </c>
      <c r="BP12" s="452">
        <f t="shared" si="8"/>
        <v>320</v>
      </c>
      <c r="BQ12" s="452">
        <f t="shared" si="8"/>
        <v>320</v>
      </c>
      <c r="BR12" s="452">
        <f t="shared" si="8"/>
        <v>320</v>
      </c>
      <c r="BS12" s="452">
        <f t="shared" si="8"/>
        <v>320</v>
      </c>
      <c r="BT12" s="452">
        <f t="shared" si="8"/>
        <v>320</v>
      </c>
      <c r="BU12" s="452">
        <f t="shared" si="8"/>
        <v>320</v>
      </c>
      <c r="BV12" s="452">
        <f t="shared" ref="BV12:CZ12" si="9">BV9/BV8</f>
        <v>320</v>
      </c>
      <c r="BW12" s="452">
        <f t="shared" si="9"/>
        <v>320</v>
      </c>
      <c r="BX12" s="452">
        <f t="shared" si="9"/>
        <v>320</v>
      </c>
      <c r="BY12" s="452">
        <f t="shared" si="9"/>
        <v>320</v>
      </c>
      <c r="BZ12" s="452">
        <f t="shared" si="9"/>
        <v>320</v>
      </c>
      <c r="CA12" s="452">
        <f t="shared" si="9"/>
        <v>320</v>
      </c>
      <c r="CB12" s="452">
        <f t="shared" si="9"/>
        <v>320</v>
      </c>
      <c r="CC12" s="452">
        <f t="shared" si="9"/>
        <v>320</v>
      </c>
      <c r="CD12" s="452">
        <f t="shared" si="9"/>
        <v>320</v>
      </c>
      <c r="CE12" s="452">
        <f t="shared" si="9"/>
        <v>320</v>
      </c>
      <c r="CF12" s="452">
        <f t="shared" si="9"/>
        <v>320</v>
      </c>
      <c r="CG12" s="452">
        <f t="shared" si="9"/>
        <v>320</v>
      </c>
      <c r="CH12" s="452">
        <f t="shared" si="9"/>
        <v>320</v>
      </c>
      <c r="CI12" s="452">
        <f t="shared" si="9"/>
        <v>320</v>
      </c>
      <c r="CJ12" s="452">
        <f t="shared" si="9"/>
        <v>320</v>
      </c>
      <c r="CK12" s="452">
        <f t="shared" si="9"/>
        <v>320</v>
      </c>
      <c r="CL12" s="452">
        <f t="shared" si="9"/>
        <v>320</v>
      </c>
      <c r="CM12" s="452">
        <f t="shared" si="9"/>
        <v>320</v>
      </c>
      <c r="CN12" s="452">
        <f t="shared" si="9"/>
        <v>320</v>
      </c>
      <c r="CO12" s="452">
        <f t="shared" si="9"/>
        <v>320</v>
      </c>
      <c r="CP12" s="452">
        <f t="shared" si="9"/>
        <v>320</v>
      </c>
      <c r="CQ12" s="452">
        <f t="shared" si="9"/>
        <v>320</v>
      </c>
      <c r="CR12" s="452">
        <f t="shared" si="9"/>
        <v>320</v>
      </c>
      <c r="CS12" s="452">
        <f t="shared" si="9"/>
        <v>320</v>
      </c>
      <c r="CT12" s="452">
        <f t="shared" si="9"/>
        <v>320</v>
      </c>
      <c r="CU12" s="452">
        <f t="shared" si="9"/>
        <v>320</v>
      </c>
      <c r="CV12" s="452">
        <f t="shared" si="9"/>
        <v>320</v>
      </c>
      <c r="CW12" s="452">
        <f t="shared" si="9"/>
        <v>320</v>
      </c>
      <c r="CX12" s="452">
        <f t="shared" si="9"/>
        <v>320</v>
      </c>
      <c r="CY12" s="452">
        <f t="shared" si="9"/>
        <v>320</v>
      </c>
      <c r="CZ12" s="452">
        <f t="shared" si="9"/>
        <v>320</v>
      </c>
      <c r="DA12" s="345">
        <f>CZ12</f>
        <v>320</v>
      </c>
      <c r="DB12" s="504" t="s">
        <v>224</v>
      </c>
      <c r="DC12" s="452" t="s">
        <v>241</v>
      </c>
    </row>
    <row r="13" spans="2:107" s="452" customFormat="1" ht="21" customHeight="1" thickTop="1" thickBot="1">
      <c r="B13" s="497" t="s">
        <v>150</v>
      </c>
      <c r="C13" s="194">
        <v>16</v>
      </c>
      <c r="D13" s="352">
        <v>0.25600000000000001</v>
      </c>
      <c r="E13" s="193">
        <f t="shared" si="4"/>
        <v>128000</v>
      </c>
      <c r="H13" s="506" t="s">
        <v>211</v>
      </c>
      <c r="I13" s="507">
        <f>CZ10</f>
        <v>2000</v>
      </c>
      <c r="J13" s="508" t="s">
        <v>145</v>
      </c>
      <c r="K13" s="452">
        <f>K9/K8</f>
        <v>320</v>
      </c>
      <c r="DB13" s="504"/>
    </row>
    <row r="14" spans="2:107" ht="18.75" customHeight="1">
      <c r="C14" s="101"/>
      <c r="D14" s="353"/>
      <c r="E14" s="353"/>
      <c r="H14" s="354"/>
      <c r="I14" s="355"/>
      <c r="J14" s="356"/>
      <c r="DB14" s="350"/>
    </row>
    <row r="15" spans="2:107" ht="24" customHeight="1"/>
    <row r="16" spans="2:107" ht="15">
      <c r="H16" s="357" t="s">
        <v>218</v>
      </c>
    </row>
    <row r="19" spans="2:13" ht="33" customHeight="1">
      <c r="B19" s="126" t="s">
        <v>119</v>
      </c>
      <c r="C19" s="125">
        <v>30</v>
      </c>
      <c r="D19" s="116" t="s">
        <v>167</v>
      </c>
      <c r="E19" s="104" t="str">
        <f>DEC2BIN(C19,8)</f>
        <v>00011110</v>
      </c>
      <c r="F19" s="102">
        <f>BIN2DEC(E19)</f>
        <v>30</v>
      </c>
      <c r="G19" s="117">
        <f>F19*256</f>
        <v>7680</v>
      </c>
    </row>
    <row r="20" spans="2:13" ht="28.5">
      <c r="B20" s="126" t="s">
        <v>118</v>
      </c>
      <c r="C20" s="125">
        <v>56</v>
      </c>
      <c r="D20" s="116" t="s">
        <v>167</v>
      </c>
      <c r="E20" s="104" t="str">
        <f>DEC2BIN(C20,8)</f>
        <v>00111000</v>
      </c>
      <c r="F20" s="101"/>
      <c r="G20" s="117">
        <f>BIN2DEC(E20)</f>
        <v>56</v>
      </c>
      <c r="H20" s="808">
        <f>G19+G20</f>
        <v>7736</v>
      </c>
      <c r="I20" s="809"/>
      <c r="J20" s="228" t="s">
        <v>222</v>
      </c>
      <c r="K20" s="420" t="s">
        <v>220</v>
      </c>
      <c r="L20" s="790"/>
      <c r="M20" s="789"/>
    </row>
    <row r="21" spans="2:13" ht="27">
      <c r="B21" s="126"/>
      <c r="C21" s="358"/>
      <c r="D21" s="116"/>
      <c r="E21" s="104"/>
      <c r="F21" s="101"/>
      <c r="G21" s="117"/>
      <c r="H21" s="226"/>
      <c r="I21" s="227"/>
      <c r="J21" s="228"/>
      <c r="K21" s="106"/>
      <c r="L21" s="359"/>
      <c r="M21" s="360"/>
    </row>
    <row r="22" spans="2:13" ht="27">
      <c r="B22" s="126"/>
      <c r="C22" s="358"/>
      <c r="D22" s="116"/>
      <c r="E22" s="321" t="str">
        <f>IF(H24&gt;I13,"Le TMP37 ne délivre que 2000mV MAX !?","")</f>
        <v/>
      </c>
      <c r="F22" s="101"/>
      <c r="G22" s="117"/>
      <c r="H22" s="801" t="s">
        <v>254</v>
      </c>
      <c r="I22" s="802"/>
      <c r="J22" s="802"/>
      <c r="K22" s="106"/>
      <c r="L22" s="359"/>
      <c r="M22" s="360"/>
    </row>
    <row r="23" spans="2:13" ht="6.75" customHeight="1">
      <c r="K23" s="106"/>
      <c r="L23" s="790"/>
      <c r="M23" s="789"/>
    </row>
    <row r="24" spans="2:13" ht="26.25">
      <c r="E24" s="362" t="str">
        <f>IF(H24&gt;L7,"Tension supérieure à U Full Scale !","")</f>
        <v/>
      </c>
      <c r="F24" s="793" t="str">
        <f>CONCATENATE("/ ",ROUND(J11,3))</f>
        <v>/ 16</v>
      </c>
      <c r="G24" s="794"/>
      <c r="H24" s="810">
        <f>H20/J11</f>
        <v>483.5</v>
      </c>
      <c r="I24" s="811"/>
      <c r="J24" s="364" t="s">
        <v>145</v>
      </c>
      <c r="K24" s="232" t="s">
        <v>228</v>
      </c>
      <c r="L24" s="788">
        <f>I11</f>
        <v>16</v>
      </c>
      <c r="M24" s="789"/>
    </row>
    <row r="25" spans="2:13" ht="6.75" customHeight="1">
      <c r="E25" s="365"/>
      <c r="F25" s="366"/>
      <c r="G25" s="207"/>
      <c r="H25" s="367"/>
      <c r="I25" s="368"/>
      <c r="J25" s="369"/>
      <c r="K25" s="232"/>
      <c r="L25" s="370"/>
      <c r="M25" s="360"/>
    </row>
    <row r="26" spans="2:13">
      <c r="K26" s="793" t="s">
        <v>239</v>
      </c>
      <c r="L26" s="793"/>
    </row>
    <row r="27" spans="2:13" ht="26.25">
      <c r="G27" s="326"/>
      <c r="H27" s="810">
        <f>H20*O7</f>
        <v>24.175000000000001</v>
      </c>
      <c r="I27" s="811"/>
      <c r="J27" s="371" t="s">
        <v>182</v>
      </c>
      <c r="K27" s="372" t="s">
        <v>227</v>
      </c>
      <c r="L27" s="795">
        <f>O7</f>
        <v>3.1250000000000002E-3</v>
      </c>
      <c r="M27" s="796"/>
    </row>
    <row r="28" spans="2:13" ht="15.75">
      <c r="G28" s="326"/>
      <c r="K28" s="372"/>
      <c r="L28" s="373"/>
      <c r="M28" s="374"/>
    </row>
    <row r="29" spans="2:13" ht="27.75" customHeight="1">
      <c r="G29" s="326"/>
      <c r="H29" s="803" t="s">
        <v>335</v>
      </c>
      <c r="I29" s="804"/>
      <c r="J29" s="804"/>
      <c r="K29" s="372"/>
      <c r="L29" s="373"/>
      <c r="M29" s="374"/>
    </row>
    <row r="30" spans="2:13" ht="26.25">
      <c r="G30" s="326"/>
      <c r="H30" s="797">
        <f>K51</f>
        <v>483</v>
      </c>
      <c r="I30" s="798"/>
      <c r="J30" s="375" t="s">
        <v>145</v>
      </c>
      <c r="K30" s="106" t="s">
        <v>372</v>
      </c>
      <c r="L30" s="359">
        <f>INT(L24)</f>
        <v>16</v>
      </c>
      <c r="M30" s="374"/>
    </row>
    <row r="31" spans="2:13" ht="21" hidden="1">
      <c r="C31" s="417">
        <f>INT((MOD(H24,1)))</f>
        <v>0</v>
      </c>
      <c r="E31" s="416">
        <f>INT((MOD(H24,1)*100))/100</f>
        <v>0.5</v>
      </c>
      <c r="G31" s="326"/>
      <c r="H31" s="799" t="str">
        <f>CONCATENATE("              ,",INT((MOD(H24,1)*100)))</f>
        <v xml:space="preserve">              ,50</v>
      </c>
      <c r="I31" s="800"/>
      <c r="J31" s="375"/>
      <c r="K31" s="106"/>
      <c r="L31" s="359"/>
      <c r="M31" s="374"/>
    </row>
    <row r="32" spans="2:13" ht="9" customHeight="1">
      <c r="K32" s="793"/>
      <c r="L32" s="794"/>
    </row>
    <row r="33" spans="6:44" ht="26.25">
      <c r="G33" s="326"/>
      <c r="H33" s="791">
        <f>K49</f>
        <v>24.1</v>
      </c>
      <c r="I33" s="792"/>
      <c r="J33" s="377" t="s">
        <v>182</v>
      </c>
      <c r="K33" s="106"/>
      <c r="L33" s="359"/>
    </row>
    <row r="35" spans="6:44" ht="21.75" customHeight="1"/>
    <row r="36" spans="6:44" ht="38.25" customHeight="1" thickBot="1">
      <c r="G36" s="786" t="s">
        <v>370</v>
      </c>
      <c r="H36" s="787"/>
      <c r="I36" s="787"/>
      <c r="J36" s="787"/>
      <c r="K36" s="787"/>
    </row>
    <row r="37" spans="6:44" ht="44.25">
      <c r="G37" s="320"/>
      <c r="H37" s="408" t="s">
        <v>216</v>
      </c>
      <c r="I37" s="409">
        <f>H20</f>
        <v>7736</v>
      </c>
      <c r="J37" s="379"/>
    </row>
    <row r="38" spans="6:44" ht="35.25" customHeight="1">
      <c r="H38" s="410" t="s">
        <v>212</v>
      </c>
      <c r="I38" s="411">
        <f>H5</f>
        <v>2</v>
      </c>
      <c r="J38" s="381" t="s">
        <v>336</v>
      </c>
      <c r="K38" s="407" t="s">
        <v>259</v>
      </c>
    </row>
    <row r="39" spans="6:44" ht="35.25" customHeight="1" thickBot="1">
      <c r="H39" s="412" t="s">
        <v>360</v>
      </c>
      <c r="I39" s="413" t="str">
        <f>CONCATENATE(L7," mV")</f>
        <v>2048 mV</v>
      </c>
      <c r="J39" s="381"/>
      <c r="K39" s="407"/>
    </row>
    <row r="40" spans="6:44" ht="7.5" customHeight="1">
      <c r="I40" s="380"/>
      <c r="J40" s="382"/>
      <c r="K40" s="126"/>
    </row>
    <row r="41" spans="6:44" ht="18">
      <c r="H41" s="383" t="s">
        <v>145</v>
      </c>
      <c r="I41" s="127" t="str">
        <f>CONCATENATE("ADC/",L24)</f>
        <v>ADC/16</v>
      </c>
      <c r="J41" s="384">
        <f>I37/L30</f>
        <v>483.5</v>
      </c>
      <c r="K41" s="385">
        <f>INT(J41)</f>
        <v>483</v>
      </c>
      <c r="L41" s="99" t="s">
        <v>145</v>
      </c>
      <c r="V41" s="418" t="str">
        <f>CONCATENATE("PGA= ",$H$5)</f>
        <v>PGA= 2</v>
      </c>
      <c r="Y41" s="101" t="s">
        <v>347</v>
      </c>
      <c r="Z41" s="101"/>
      <c r="AN41" s="418" t="str">
        <f>CONCATENATE("PGA= ",$H$5)</f>
        <v>PGA= 2</v>
      </c>
      <c r="AQ41" s="101" t="s">
        <v>347</v>
      </c>
      <c r="AR41" s="101"/>
    </row>
    <row r="42" spans="6:44" ht="26.25" customHeight="1">
      <c r="F42" s="386"/>
      <c r="I42" s="127"/>
      <c r="J42" s="384"/>
      <c r="K42" s="387"/>
      <c r="T42" s="388"/>
      <c r="U42" s="104" t="s">
        <v>348</v>
      </c>
      <c r="AI42" s="389"/>
      <c r="AJ42" s="390"/>
      <c r="AM42" s="104" t="s">
        <v>348</v>
      </c>
    </row>
    <row r="43" spans="6:44" ht="18">
      <c r="F43" s="386"/>
      <c r="H43" s="383" t="s">
        <v>246</v>
      </c>
      <c r="I43" s="127" t="str">
        <f>CONCATENATE("ADC/ ",I12/10)</f>
        <v>ADC/ 32</v>
      </c>
      <c r="J43" s="384">
        <f>I37/(I12/10)</f>
        <v>241.75</v>
      </c>
      <c r="K43" s="391">
        <f t="shared" ref="K43:K47" si="10">INT(J43)</f>
        <v>241</v>
      </c>
      <c r="T43" s="388"/>
      <c r="U43" s="404">
        <v>4.0960000000000001</v>
      </c>
      <c r="V43" s="403" t="s">
        <v>337</v>
      </c>
      <c r="W43" s="99" t="s">
        <v>349</v>
      </c>
      <c r="Y43" s="405">
        <f>1/16</f>
        <v>6.25E-2</v>
      </c>
      <c r="Z43" s="370" t="s">
        <v>359</v>
      </c>
      <c r="AB43" s="99">
        <f>1/16</f>
        <v>6.25E-2</v>
      </c>
      <c r="AC43" s="99">
        <f>1/160</f>
        <v>6.2500000000000003E-3</v>
      </c>
      <c r="AI43" s="389"/>
      <c r="AJ43" s="119"/>
      <c r="AM43" s="404">
        <v>4.0960000000000001</v>
      </c>
      <c r="AN43" s="403" t="s">
        <v>337</v>
      </c>
      <c r="AO43" s="99" t="s">
        <v>343</v>
      </c>
      <c r="AQ43" s="101">
        <f>1/0.125</f>
        <v>8</v>
      </c>
      <c r="AR43" s="101"/>
    </row>
    <row r="44" spans="6:44" ht="18">
      <c r="F44" s="386"/>
      <c r="J44" s="384"/>
      <c r="K44" s="387"/>
      <c r="T44" s="388"/>
      <c r="U44" s="404">
        <v>2.048</v>
      </c>
      <c r="V44" s="403" t="s">
        <v>338</v>
      </c>
      <c r="W44" s="99" t="s">
        <v>350</v>
      </c>
      <c r="Y44" s="405" t="s">
        <v>354</v>
      </c>
      <c r="Z44" s="101"/>
      <c r="AB44" s="99">
        <f>1/32</f>
        <v>3.125E-2</v>
      </c>
      <c r="AM44" s="404">
        <v>2.048</v>
      </c>
      <c r="AN44" s="403" t="s">
        <v>338</v>
      </c>
      <c r="AO44" s="99" t="s">
        <v>342</v>
      </c>
      <c r="AQ44" s="101">
        <f>1/0.0625</f>
        <v>16</v>
      </c>
      <c r="AR44" s="101"/>
    </row>
    <row r="45" spans="6:44" ht="18">
      <c r="H45" s="99" t="s">
        <v>248</v>
      </c>
      <c r="I45" s="99" t="s">
        <v>249</v>
      </c>
      <c r="J45" s="384">
        <f>K43/10</f>
        <v>24.1</v>
      </c>
      <c r="K45" s="385">
        <f t="shared" si="10"/>
        <v>24</v>
      </c>
      <c r="T45" s="392"/>
      <c r="U45" s="404">
        <v>1.024</v>
      </c>
      <c r="V45" s="403" t="s">
        <v>339</v>
      </c>
      <c r="W45" s="99" t="s">
        <v>351</v>
      </c>
      <c r="Y45" s="405" t="s">
        <v>355</v>
      </c>
      <c r="Z45" s="101"/>
      <c r="AB45" s="99">
        <f>1/64</f>
        <v>1.5625E-2</v>
      </c>
      <c r="AM45" s="404">
        <v>1.024</v>
      </c>
      <c r="AN45" s="403" t="s">
        <v>339</v>
      </c>
      <c r="AO45" s="99" t="s">
        <v>344</v>
      </c>
      <c r="AQ45" s="101">
        <f>1/0.03125</f>
        <v>32</v>
      </c>
      <c r="AR45" s="101"/>
    </row>
    <row r="46" spans="6:44" ht="18">
      <c r="H46" s="99" t="s">
        <v>250</v>
      </c>
      <c r="J46" s="384">
        <f>K45*10</f>
        <v>240</v>
      </c>
      <c r="K46" s="391">
        <f t="shared" si="10"/>
        <v>240</v>
      </c>
      <c r="T46" s="392"/>
      <c r="U46" s="404">
        <v>0.51200000000000001</v>
      </c>
      <c r="V46" s="403" t="s">
        <v>340</v>
      </c>
      <c r="W46" s="99" t="s">
        <v>352</v>
      </c>
      <c r="Y46" s="405" t="s">
        <v>356</v>
      </c>
      <c r="Z46" s="101"/>
      <c r="AB46" s="99">
        <f>1/128</f>
        <v>7.8125E-3</v>
      </c>
      <c r="AM46" s="404">
        <v>0.51200000000000001</v>
      </c>
      <c r="AN46" s="403" t="s">
        <v>340</v>
      </c>
      <c r="AO46" s="99" t="s">
        <v>346</v>
      </c>
      <c r="AQ46" s="101">
        <f>1/0.015625</f>
        <v>64</v>
      </c>
      <c r="AR46" s="101"/>
    </row>
    <row r="47" spans="6:44" ht="18">
      <c r="H47" s="99" t="s">
        <v>251</v>
      </c>
      <c r="I47" s="99" t="s">
        <v>252</v>
      </c>
      <c r="J47" s="384">
        <f>K43-K46</f>
        <v>1</v>
      </c>
      <c r="K47" s="385">
        <f t="shared" si="10"/>
        <v>1</v>
      </c>
      <c r="T47" s="388"/>
      <c r="U47" s="404">
        <v>0.25600000000000001</v>
      </c>
      <c r="V47" s="403" t="s">
        <v>341</v>
      </c>
      <c r="W47" s="99" t="s">
        <v>353</v>
      </c>
      <c r="Y47" s="405" t="s">
        <v>357</v>
      </c>
      <c r="Z47" s="101"/>
      <c r="AB47" s="99">
        <f>1/256</f>
        <v>3.90625E-3</v>
      </c>
      <c r="AM47" s="404">
        <v>0.25600000000000001</v>
      </c>
      <c r="AN47" s="403" t="s">
        <v>341</v>
      </c>
      <c r="AO47" s="99" t="s">
        <v>345</v>
      </c>
      <c r="AQ47" s="101">
        <v>128</v>
      </c>
      <c r="AR47" s="101"/>
    </row>
    <row r="48" spans="6:44" ht="15">
      <c r="J48" s="394"/>
      <c r="K48" s="395"/>
      <c r="T48" s="388"/>
      <c r="U48" s="388"/>
      <c r="V48" s="388"/>
      <c r="W48" s="388"/>
      <c r="X48" s="388"/>
    </row>
    <row r="49" spans="9:24" ht="26.25">
      <c r="I49" s="396" t="s">
        <v>253</v>
      </c>
      <c r="K49" s="397">
        <f>K45+(K47/10)</f>
        <v>24.1</v>
      </c>
      <c r="L49" s="395" t="s">
        <v>182</v>
      </c>
      <c r="T49" s="388"/>
      <c r="U49" s="398"/>
      <c r="V49" s="388"/>
      <c r="W49" s="388"/>
      <c r="X49" s="388"/>
    </row>
    <row r="50" spans="9:24" ht="8.25" customHeight="1">
      <c r="K50" s="399"/>
      <c r="L50" s="383"/>
      <c r="T50" s="388"/>
      <c r="U50" s="393"/>
      <c r="V50" s="388"/>
      <c r="W50" s="388"/>
      <c r="X50" s="388"/>
    </row>
    <row r="51" spans="9:24" ht="26.25">
      <c r="K51" s="397">
        <f>K41</f>
        <v>483</v>
      </c>
      <c r="L51" s="395" t="s">
        <v>145</v>
      </c>
      <c r="T51" s="388"/>
      <c r="U51" s="388"/>
      <c r="V51" s="388"/>
      <c r="W51" s="388"/>
      <c r="X51" s="388"/>
    </row>
    <row r="52" spans="9:24">
      <c r="J52" s="399"/>
      <c r="T52" s="388"/>
      <c r="U52" s="388"/>
      <c r="V52" s="388"/>
      <c r="W52" s="388"/>
      <c r="X52" s="388"/>
    </row>
    <row r="53" spans="9:24" ht="20.25">
      <c r="K53" s="400" t="s">
        <v>257</v>
      </c>
      <c r="T53" s="388"/>
      <c r="U53" s="388"/>
      <c r="V53" s="388"/>
      <c r="W53" s="388"/>
      <c r="X53" s="388"/>
    </row>
    <row r="55" spans="9:24" ht="23.25">
      <c r="K55" s="406">
        <f>H24-K41</f>
        <v>0.5</v>
      </c>
      <c r="L55" s="401" t="s">
        <v>145</v>
      </c>
    </row>
    <row r="56" spans="9:24" ht="23.25">
      <c r="K56" s="406">
        <f>H27-K49</f>
        <v>7.4999999999999289E-2</v>
      </c>
      <c r="L56" s="401" t="s">
        <v>182</v>
      </c>
    </row>
  </sheetData>
  <sheetProtection password="C9A7" sheet="1" objects="1" scenarios="1"/>
  <mergeCells count="18">
    <mergeCell ref="C6:E6"/>
    <mergeCell ref="H20:I20"/>
    <mergeCell ref="H24:I24"/>
    <mergeCell ref="H27:I27"/>
    <mergeCell ref="C4:E4"/>
    <mergeCell ref="G36:K36"/>
    <mergeCell ref="L24:M24"/>
    <mergeCell ref="L20:M20"/>
    <mergeCell ref="L23:M23"/>
    <mergeCell ref="H33:I33"/>
    <mergeCell ref="F24:G24"/>
    <mergeCell ref="L27:M27"/>
    <mergeCell ref="K26:L26"/>
    <mergeCell ref="K32:L32"/>
    <mergeCell ref="H30:I30"/>
    <mergeCell ref="H31:I31"/>
    <mergeCell ref="H22:J22"/>
    <mergeCell ref="H29:J29"/>
  </mergeCells>
  <conditionalFormatting sqref="N6">
    <cfRule type="cellIs" dxfId="19" priority="11" operator="notEqual">
      <formula>"OK"</formula>
    </cfRule>
  </conditionalFormatting>
  <conditionalFormatting sqref="L6">
    <cfRule type="cellIs" dxfId="18" priority="9" operator="notEqual">
      <formula>"OK"</formula>
    </cfRule>
  </conditionalFormatting>
  <conditionalFormatting sqref="B11:E11">
    <cfRule type="expression" dxfId="17" priority="8">
      <formula>$H$5=4</formula>
    </cfRule>
  </conditionalFormatting>
  <conditionalFormatting sqref="B9:E9">
    <cfRule type="expression" dxfId="16" priority="6">
      <formula>$H$5=1</formula>
    </cfRule>
  </conditionalFormatting>
  <conditionalFormatting sqref="B10:E10">
    <cfRule type="expression" dxfId="15" priority="5">
      <formula>$H$5=2</formula>
    </cfRule>
  </conditionalFormatting>
  <conditionalFormatting sqref="B12:E12">
    <cfRule type="expression" dxfId="14" priority="4">
      <formula>$H$5=8</formula>
    </cfRule>
  </conditionalFormatting>
  <conditionalFormatting sqref="B13:E13">
    <cfRule type="expression" dxfId="13" priority="3">
      <formula>$H$5=16</formula>
    </cfRule>
  </conditionalFormatting>
  <conditionalFormatting sqref="H24:I24">
    <cfRule type="cellIs" dxfId="12" priority="2" operator="greaterThan">
      <formula>2000</formula>
    </cfRule>
  </conditionalFormatting>
  <conditionalFormatting sqref="B8:E8">
    <cfRule type="expression" dxfId="11" priority="1">
      <formula>$H$5=2/3</formula>
    </cfRule>
  </conditionalFormatting>
  <dataValidations disablePrompts="1" count="3">
    <dataValidation type="list" allowBlank="1" showInputMessage="1" showErrorMessage="1" sqref="H5">
      <formula1>$C$8:$C$13</formula1>
    </dataValidation>
    <dataValidation type="whole" allowBlank="1" showInputMessage="1" showErrorMessage="1" errorTitle="LSB Value exceeded " error="Valeur Max d'un Byte = 255" sqref="C20">
      <formula1>0</formula1>
      <formula2>255</formula2>
    </dataValidation>
    <dataValidation type="whole" allowBlank="1" showInputMessage="1" showErrorMessage="1" errorTitle="MSB Value exceeded " error="Le TMP37 ne délivre pas de tension négative._x000a_           Valeur MAX de MSB = 127" sqref="C19">
      <formula1>0</formula1>
      <formula2>127</formula2>
    </dataValidation>
  </dataValidations>
  <hyperlinks>
    <hyperlink ref="H16" r:id="rId1"/>
  </hyperlinks>
  <pageMargins left="0.14000000000000001" right="0.15" top="0.74803149606299213" bottom="0.74803149606299213" header="0.31496062992125984" footer="0.31496062992125984"/>
  <pageSetup paperSize="9" scale="18" orientation="landscape" verticalDpi="0" r:id="rId2"/>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dimension ref="A1:FU105"/>
  <sheetViews>
    <sheetView showGridLines="0" zoomScale="75" zoomScaleNormal="75" workbookViewId="0">
      <selection activeCell="C20" sqref="C20"/>
    </sheetView>
  </sheetViews>
  <sheetFormatPr baseColWidth="10" defaultRowHeight="14.25"/>
  <cols>
    <col min="1" max="1" width="7.85546875" style="99" customWidth="1"/>
    <col min="2" max="2" width="14.7109375" style="99" bestFit="1" customWidth="1"/>
    <col min="3" max="3" width="14.140625" style="99" bestFit="1" customWidth="1"/>
    <col min="4" max="4" width="13" style="99" customWidth="1"/>
    <col min="5" max="5" width="23" style="99" bestFit="1" customWidth="1"/>
    <col min="6" max="6" width="4.42578125" style="99" bestFit="1" customWidth="1"/>
    <col min="7" max="7" width="11.42578125" style="99" customWidth="1"/>
    <col min="8" max="8" width="13.28515625" style="99" customWidth="1"/>
    <col min="9" max="9" width="19.7109375" style="99" customWidth="1"/>
    <col min="10" max="10" width="17.85546875" style="99" customWidth="1"/>
    <col min="11" max="11" width="17.140625" style="99" customWidth="1"/>
    <col min="12" max="12" width="13.5703125" style="99" bestFit="1" customWidth="1"/>
    <col min="13" max="13" width="16.7109375" style="99" customWidth="1"/>
    <col min="14" max="14" width="16.5703125" style="99" bestFit="1" customWidth="1"/>
    <col min="15" max="15" width="15.140625" style="99" customWidth="1"/>
    <col min="16" max="32" width="13.5703125" style="99" bestFit="1" customWidth="1"/>
    <col min="33" max="33" width="14" style="99" bestFit="1" customWidth="1"/>
    <col min="34" max="54" width="13.5703125" style="99" bestFit="1" customWidth="1"/>
    <col min="55" max="55" width="13.5703125" style="99" customWidth="1"/>
    <col min="56" max="105" width="13.5703125" style="99" bestFit="1" customWidth="1"/>
    <col min="106" max="148" width="6.7109375" style="99" bestFit="1" customWidth="1"/>
    <col min="149" max="174" width="6.85546875" style="99" bestFit="1" customWidth="1"/>
    <col min="175" max="175" width="7.140625" style="99" bestFit="1" customWidth="1"/>
    <col min="176" max="176" width="5.42578125" style="99" bestFit="1" customWidth="1"/>
    <col min="177" max="178" width="11.42578125" style="99" customWidth="1"/>
    <col min="179" max="16384" width="11.42578125" style="99"/>
  </cols>
  <sheetData>
    <row r="1" spans="2:177">
      <c r="I1" s="376"/>
      <c r="J1" s="376"/>
      <c r="K1" s="376"/>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row>
    <row r="2" spans="2:177" ht="9" customHeight="1">
      <c r="C2" s="363"/>
      <c r="D2" s="353"/>
      <c r="E2" s="353"/>
      <c r="DB2" s="350"/>
    </row>
    <row r="3" spans="2:177" ht="27.75">
      <c r="E3" s="448"/>
      <c r="H3" s="323" t="s">
        <v>210</v>
      </c>
      <c r="J3" s="324" t="s">
        <v>208</v>
      </c>
    </row>
    <row r="4" spans="2:177" ht="26.25">
      <c r="B4" s="363"/>
      <c r="C4" s="812" t="s">
        <v>183</v>
      </c>
      <c r="D4" s="813"/>
      <c r="E4" s="813"/>
    </row>
    <row r="5" spans="2:177" s="363" customFormat="1" ht="18.75" thickBot="1">
      <c r="B5" s="99"/>
      <c r="C5" s="99"/>
      <c r="D5" s="99"/>
      <c r="E5" s="99"/>
      <c r="G5" s="103" t="s">
        <v>212</v>
      </c>
      <c r="H5" s="449">
        <v>2</v>
      </c>
      <c r="I5" s="328" t="s">
        <v>238</v>
      </c>
      <c r="J5" s="329"/>
      <c r="K5" s="329"/>
      <c r="L5" s="329"/>
      <c r="M5" s="329"/>
      <c r="N5" s="329"/>
      <c r="O5" s="329"/>
      <c r="P5" s="329"/>
      <c r="Q5" s="329"/>
      <c r="R5" s="329"/>
      <c r="S5" s="329"/>
      <c r="T5" s="329"/>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9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450"/>
      <c r="FT5" s="450"/>
    </row>
    <row r="6" spans="2:177" ht="20.25" thickTop="1" thickBot="1">
      <c r="C6" s="805" t="s">
        <v>149</v>
      </c>
      <c r="D6" s="806"/>
      <c r="E6" s="807"/>
      <c r="H6" s="330" t="s">
        <v>209</v>
      </c>
      <c r="L6" s="331" t="str">
        <f>IF(I13&gt;L7,"Attention Vin Max dépasse la valeur Full-Scale !","OK")</f>
        <v>OK</v>
      </c>
      <c r="N6" s="331"/>
    </row>
    <row r="7" spans="2:177" ht="31.5" thickBot="1">
      <c r="B7" s="332" t="s">
        <v>146</v>
      </c>
      <c r="C7" s="333" t="s">
        <v>213</v>
      </c>
      <c r="D7" s="334" t="s">
        <v>219</v>
      </c>
      <c r="E7" s="335" t="s">
        <v>215</v>
      </c>
      <c r="H7" s="102" t="s">
        <v>217</v>
      </c>
      <c r="I7" s="451">
        <f>VLOOKUP(H5,C8:E13,3,FALSE)</f>
        <v>16000</v>
      </c>
      <c r="K7" s="100" t="s">
        <v>221</v>
      </c>
      <c r="L7" s="100">
        <f>(VLOOKUP(H5,C8:E13,2))*1000</f>
        <v>2048</v>
      </c>
      <c r="M7" s="100" t="s">
        <v>145</v>
      </c>
      <c r="N7" s="99">
        <f>N8/N9</f>
        <v>-1.4583333333333334E-2</v>
      </c>
      <c r="O7" s="99">
        <f t="shared" ref="O7:BZ7" si="0">O8/O9</f>
        <v>-1.328125E-2</v>
      </c>
      <c r="P7" s="99">
        <f t="shared" si="0"/>
        <v>-1.2132352941176471E-2</v>
      </c>
      <c r="Q7" s="99">
        <f t="shared" si="0"/>
        <v>-1.1111111111111112E-2</v>
      </c>
      <c r="R7" s="99">
        <f t="shared" si="0"/>
        <v>-1.0197368421052632E-2</v>
      </c>
      <c r="S7" s="99">
        <f t="shared" si="0"/>
        <v>-9.3749999999999997E-3</v>
      </c>
      <c r="T7" s="99">
        <f t="shared" si="0"/>
        <v>-8.6309523809523815E-3</v>
      </c>
      <c r="U7" s="99">
        <f t="shared" si="0"/>
        <v>-7.9545454545454537E-3</v>
      </c>
      <c r="V7" s="99">
        <f t="shared" si="0"/>
        <v>-7.3369565217391306E-3</v>
      </c>
      <c r="W7" s="99">
        <f t="shared" si="0"/>
        <v>-6.7708333333333336E-3</v>
      </c>
      <c r="X7" s="99">
        <f t="shared" si="0"/>
        <v>-6.2500000000000003E-3</v>
      </c>
      <c r="Y7" s="99">
        <f t="shared" si="0"/>
        <v>-5.7692307692307696E-3</v>
      </c>
      <c r="Z7" s="99">
        <f t="shared" si="0"/>
        <v>-5.324074074074074E-3</v>
      </c>
      <c r="AA7" s="99">
        <f t="shared" si="0"/>
        <v>-4.9107142857142856E-3</v>
      </c>
      <c r="AB7" s="99">
        <f t="shared" si="0"/>
        <v>-4.5258620689655176E-3</v>
      </c>
      <c r="AC7" s="99">
        <f t="shared" si="0"/>
        <v>-4.1666666666666666E-3</v>
      </c>
      <c r="AD7" s="99">
        <f t="shared" si="0"/>
        <v>-3.8306451612903224E-3</v>
      </c>
      <c r="AE7" s="99">
        <f t="shared" si="0"/>
        <v>-3.5156250000000001E-3</v>
      </c>
      <c r="AF7" s="99">
        <f t="shared" si="0"/>
        <v>-3.2196969696969696E-3</v>
      </c>
      <c r="AG7" s="99">
        <f t="shared" si="0"/>
        <v>-2.9411764705882353E-3</v>
      </c>
      <c r="AH7" s="99">
        <f t="shared" si="0"/>
        <v>-2.6785714285714286E-3</v>
      </c>
      <c r="AI7" s="99">
        <f t="shared" si="0"/>
        <v>-2.4305555555555556E-3</v>
      </c>
      <c r="AJ7" s="99">
        <f t="shared" si="0"/>
        <v>-2.1959459459459461E-3</v>
      </c>
      <c r="AK7" s="99">
        <f t="shared" si="0"/>
        <v>-1.9736842105263159E-3</v>
      </c>
      <c r="AL7" s="99">
        <f t="shared" si="0"/>
        <v>-1.7628205128205128E-3</v>
      </c>
      <c r="AM7" s="99">
        <f t="shared" si="0"/>
        <v>-1.5625000000000001E-3</v>
      </c>
      <c r="AN7" s="99">
        <f t="shared" si="0"/>
        <v>-1.371951219512195E-3</v>
      </c>
      <c r="AO7" s="99">
        <f t="shared" si="0"/>
        <v>-1.1904761904761906E-3</v>
      </c>
      <c r="AP7" s="99">
        <f t="shared" si="0"/>
        <v>-1.0174418604651163E-3</v>
      </c>
      <c r="AQ7" s="99">
        <f t="shared" si="0"/>
        <v>-8.5227272727272723E-4</v>
      </c>
      <c r="AR7" s="99">
        <f t="shared" si="0"/>
        <v>-6.9444444444444447E-4</v>
      </c>
      <c r="AS7" s="99">
        <f t="shared" si="0"/>
        <v>-5.4347826086956522E-4</v>
      </c>
      <c r="AT7" s="99">
        <f t="shared" si="0"/>
        <v>-3.9893617021276594E-4</v>
      </c>
      <c r="AU7" s="99">
        <f t="shared" si="0"/>
        <v>-2.6041666666666666E-4</v>
      </c>
      <c r="AV7" s="99">
        <f t="shared" si="0"/>
        <v>-1.2755102040816328E-4</v>
      </c>
      <c r="AW7" s="102">
        <f t="shared" si="0"/>
        <v>0</v>
      </c>
      <c r="AX7" s="99">
        <f t="shared" si="0"/>
        <v>1.2254901960784314E-4</v>
      </c>
      <c r="AY7" s="99">
        <f t="shared" si="0"/>
        <v>2.403846153846154E-4</v>
      </c>
      <c r="AZ7" s="99">
        <f t="shared" si="0"/>
        <v>3.5377358490566035E-4</v>
      </c>
      <c r="BA7" s="99">
        <f t="shared" si="0"/>
        <v>4.6296296296296298E-4</v>
      </c>
      <c r="BB7" s="99">
        <f t="shared" si="0"/>
        <v>5.6818181818181815E-4</v>
      </c>
      <c r="BC7" s="99">
        <f t="shared" si="0"/>
        <v>6.6964285714285715E-4</v>
      </c>
      <c r="BD7" s="99">
        <f t="shared" si="0"/>
        <v>7.6754385964912281E-4</v>
      </c>
      <c r="BE7" s="99">
        <f t="shared" si="0"/>
        <v>8.6206896551724137E-4</v>
      </c>
      <c r="BF7" s="99">
        <f t="shared" si="0"/>
        <v>9.5338983050847462E-4</v>
      </c>
      <c r="BG7" s="99">
        <f t="shared" si="0"/>
        <v>1.0416666666666667E-3</v>
      </c>
      <c r="BH7" s="99">
        <f t="shared" si="0"/>
        <v>1.1270491803278689E-3</v>
      </c>
      <c r="BI7" s="99">
        <f t="shared" si="0"/>
        <v>1.2096774193548388E-3</v>
      </c>
      <c r="BJ7" s="99">
        <f t="shared" si="0"/>
        <v>1.2896825396825397E-3</v>
      </c>
      <c r="BK7" s="99">
        <f t="shared" si="0"/>
        <v>1.3671874999999999E-3</v>
      </c>
      <c r="BL7" s="99">
        <f t="shared" si="0"/>
        <v>1.4423076923076924E-3</v>
      </c>
      <c r="BM7" s="99">
        <f t="shared" si="0"/>
        <v>1.5151515151515152E-3</v>
      </c>
      <c r="BN7" s="99">
        <f t="shared" si="0"/>
        <v>1.585820895522388E-3</v>
      </c>
      <c r="BO7" s="99">
        <f t="shared" si="0"/>
        <v>1.6544117647058823E-3</v>
      </c>
      <c r="BP7" s="99">
        <f t="shared" si="0"/>
        <v>1.7210144927536232E-3</v>
      </c>
      <c r="BQ7" s="99">
        <f t="shared" si="0"/>
        <v>1.7857142857142857E-3</v>
      </c>
      <c r="BR7" s="99">
        <f t="shared" si="0"/>
        <v>1.8485915492957746E-3</v>
      </c>
      <c r="BS7" s="99">
        <f t="shared" si="0"/>
        <v>1.9097222222222222E-3</v>
      </c>
      <c r="BT7" s="99">
        <f t="shared" si="0"/>
        <v>1.969178082191781E-3</v>
      </c>
      <c r="BU7" s="99">
        <f t="shared" si="0"/>
        <v>2.0270270270270271E-3</v>
      </c>
      <c r="BV7" s="99">
        <f t="shared" si="0"/>
        <v>2.0833333333333333E-3</v>
      </c>
      <c r="BW7" s="99">
        <f t="shared" si="0"/>
        <v>2.1381578947368422E-3</v>
      </c>
      <c r="BX7" s="99">
        <f t="shared" si="0"/>
        <v>2.1915584415584414E-3</v>
      </c>
      <c r="BY7" s="99">
        <f t="shared" si="0"/>
        <v>2.2435897435897434E-3</v>
      </c>
      <c r="BZ7" s="99">
        <f t="shared" si="0"/>
        <v>2.2943037974683545E-3</v>
      </c>
      <c r="CA7" s="99">
        <f t="shared" ref="CA7:EL7" si="1">CA8/CA9</f>
        <v>2.3437499999999999E-3</v>
      </c>
      <c r="CB7" s="99">
        <f t="shared" si="1"/>
        <v>2.3919753086419754E-3</v>
      </c>
      <c r="CC7" s="99">
        <f t="shared" si="1"/>
        <v>2.4390243902439024E-3</v>
      </c>
      <c r="CD7" s="99">
        <f t="shared" si="1"/>
        <v>2.4849397590361445E-3</v>
      </c>
      <c r="CE7" s="99">
        <f t="shared" si="1"/>
        <v>2.5297619047619049E-3</v>
      </c>
      <c r="CF7" s="99">
        <f t="shared" si="1"/>
        <v>2.5735294117647058E-3</v>
      </c>
      <c r="CG7" s="99">
        <f t="shared" si="1"/>
        <v>2.6162790697674418E-3</v>
      </c>
      <c r="CH7" s="99">
        <f t="shared" si="1"/>
        <v>2.6580459770114942E-3</v>
      </c>
      <c r="CI7" s="99">
        <f t="shared" si="1"/>
        <v>2.6988636363636364E-3</v>
      </c>
      <c r="CJ7" s="99">
        <f t="shared" si="1"/>
        <v>2.7387640449438202E-3</v>
      </c>
      <c r="CK7" s="99">
        <f t="shared" si="1"/>
        <v>2.7777777777777779E-3</v>
      </c>
      <c r="CL7" s="99">
        <f t="shared" si="1"/>
        <v>2.8159340659340659E-3</v>
      </c>
      <c r="CM7" s="99">
        <f t="shared" si="1"/>
        <v>2.8532608695652174E-3</v>
      </c>
      <c r="CN7" s="99">
        <f t="shared" si="1"/>
        <v>2.889784946236559E-3</v>
      </c>
      <c r="CO7" s="99">
        <f t="shared" si="1"/>
        <v>2.9255319148936169E-3</v>
      </c>
      <c r="CP7" s="99">
        <f t="shared" si="1"/>
        <v>2.9605263157894738E-3</v>
      </c>
      <c r="CQ7" s="99">
        <f t="shared" si="1"/>
        <v>2.9947916666666669E-3</v>
      </c>
      <c r="CR7" s="99">
        <f t="shared" si="1"/>
        <v>3.0283505154639176E-3</v>
      </c>
      <c r="CS7" s="99">
        <f t="shared" si="1"/>
        <v>3.0612244897959182E-3</v>
      </c>
      <c r="CT7" s="99">
        <f t="shared" si="1"/>
        <v>3.0934343434343434E-3</v>
      </c>
      <c r="CU7" s="99">
        <f t="shared" si="1"/>
        <v>3.1250000000000002E-3</v>
      </c>
      <c r="CV7" s="99">
        <f t="shared" si="1"/>
        <v>3.1559405940594061E-3</v>
      </c>
      <c r="CW7" s="99">
        <f t="shared" si="1"/>
        <v>3.1862745098039215E-3</v>
      </c>
      <c r="CX7" s="99">
        <f t="shared" si="1"/>
        <v>3.2160194174757281E-3</v>
      </c>
      <c r="CY7" s="99">
        <f t="shared" si="1"/>
        <v>3.2451923076923079E-3</v>
      </c>
      <c r="CZ7" s="99">
        <f t="shared" si="1"/>
        <v>3.2738095238095239E-3</v>
      </c>
      <c r="DA7" s="99">
        <f t="shared" si="1"/>
        <v>3.3018867924528303E-3</v>
      </c>
      <c r="DB7" s="99">
        <f t="shared" si="1"/>
        <v>3.3294392523364486E-3</v>
      </c>
      <c r="DC7" s="99">
        <f t="shared" si="1"/>
        <v>3.3564814814814816E-3</v>
      </c>
      <c r="DD7" s="99">
        <f t="shared" si="1"/>
        <v>3.38302752293578E-3</v>
      </c>
      <c r="DE7" s="99">
        <f t="shared" si="1"/>
        <v>3.4090909090909089E-3</v>
      </c>
      <c r="DF7" s="99">
        <f t="shared" si="1"/>
        <v>3.4346846846846847E-3</v>
      </c>
      <c r="DG7" s="99">
        <f t="shared" si="1"/>
        <v>3.4598214285714284E-3</v>
      </c>
      <c r="DH7" s="99">
        <f t="shared" si="1"/>
        <v>3.4845132743362831E-3</v>
      </c>
      <c r="DI7" s="99">
        <f t="shared" si="1"/>
        <v>3.5087719298245615E-3</v>
      </c>
      <c r="DJ7" s="99">
        <f t="shared" si="1"/>
        <v>3.5326086956521739E-3</v>
      </c>
      <c r="DK7" s="99">
        <f t="shared" si="1"/>
        <v>3.5560344827586209E-3</v>
      </c>
      <c r="DL7" s="99">
        <f t="shared" si="1"/>
        <v>3.5790598290598289E-3</v>
      </c>
      <c r="DM7" s="99">
        <f t="shared" si="1"/>
        <v>3.6016949152542373E-3</v>
      </c>
      <c r="DN7" s="99">
        <f t="shared" si="1"/>
        <v>3.6239495798319329E-3</v>
      </c>
      <c r="DO7" s="99">
        <f t="shared" si="1"/>
        <v>3.6458333333333334E-3</v>
      </c>
      <c r="DP7" s="99">
        <f t="shared" si="1"/>
        <v>3.6673553719008263E-3</v>
      </c>
      <c r="DQ7" s="99">
        <f t="shared" si="1"/>
        <v>3.6885245901639345E-3</v>
      </c>
      <c r="DR7" s="99">
        <f t="shared" si="1"/>
        <v>3.7093495934959349E-3</v>
      </c>
      <c r="DS7" s="99">
        <f t="shared" si="1"/>
        <v>3.7298387096774193E-3</v>
      </c>
      <c r="DT7" s="99">
        <f t="shared" si="1"/>
        <v>3.7499999999999999E-3</v>
      </c>
      <c r="DU7" s="99">
        <f t="shared" si="1"/>
        <v>3.7698412698412699E-3</v>
      </c>
      <c r="DV7" s="99">
        <f t="shared" si="1"/>
        <v>3.7893700787401574E-3</v>
      </c>
      <c r="DW7" s="99">
        <f t="shared" si="1"/>
        <v>3.8085937499999999E-3</v>
      </c>
      <c r="DX7" s="99">
        <f t="shared" si="1"/>
        <v>3.8275193798449612E-3</v>
      </c>
      <c r="DY7" s="99">
        <f t="shared" si="1"/>
        <v>3.8461538461538464E-3</v>
      </c>
      <c r="DZ7" s="99">
        <f t="shared" si="1"/>
        <v>3.864503816793893E-3</v>
      </c>
      <c r="EA7" s="99">
        <f t="shared" si="1"/>
        <v>3.8825757575757574E-3</v>
      </c>
      <c r="EB7" s="99">
        <f t="shared" si="1"/>
        <v>3.9003759398496241E-3</v>
      </c>
      <c r="EC7" s="99">
        <f t="shared" si="1"/>
        <v>3.9179104477611937E-3</v>
      </c>
      <c r="ED7" s="99">
        <f t="shared" si="1"/>
        <v>3.9351851851851848E-3</v>
      </c>
      <c r="EE7" s="99">
        <f t="shared" si="1"/>
        <v>3.952205882352941E-3</v>
      </c>
      <c r="EF7" s="99">
        <f t="shared" si="1"/>
        <v>3.9689781021897807E-3</v>
      </c>
      <c r="EG7" s="99">
        <f t="shared" si="1"/>
        <v>3.9855072463768114E-3</v>
      </c>
      <c r="EH7" s="99">
        <f t="shared" si="1"/>
        <v>4.0017985611510787E-3</v>
      </c>
      <c r="EI7" s="99">
        <f t="shared" si="1"/>
        <v>4.0178571428571425E-3</v>
      </c>
      <c r="EJ7" s="99">
        <f t="shared" si="1"/>
        <v>4.0336879432624111E-3</v>
      </c>
      <c r="EK7" s="99">
        <f t="shared" si="1"/>
        <v>4.0492957746478871E-3</v>
      </c>
      <c r="EL7" s="99">
        <f t="shared" si="1"/>
        <v>4.0646853146853144E-3</v>
      </c>
      <c r="EM7" s="99">
        <f t="shared" ref="EM7:FQ7" si="2">EM8/EM9</f>
        <v>4.0798611111111114E-3</v>
      </c>
      <c r="EN7" s="99">
        <f t="shared" si="2"/>
        <v>4.0948275862068969E-3</v>
      </c>
      <c r="EO7" s="99">
        <f t="shared" si="2"/>
        <v>4.10958904109589E-3</v>
      </c>
      <c r="EP7" s="99">
        <f t="shared" si="2"/>
        <v>4.1241496598639453E-3</v>
      </c>
      <c r="EQ7" s="99">
        <f t="shared" si="2"/>
        <v>4.1385135135135137E-3</v>
      </c>
      <c r="ER7" s="99">
        <f t="shared" si="2"/>
        <v>4.1526845637583892E-3</v>
      </c>
      <c r="ES7" s="99">
        <f t="shared" si="2"/>
        <v>4.1666666666666666E-3</v>
      </c>
      <c r="ET7" s="99">
        <f t="shared" si="2"/>
        <v>4.1804635761589406E-3</v>
      </c>
      <c r="EU7" s="99">
        <f t="shared" si="2"/>
        <v>4.1940789473684211E-3</v>
      </c>
      <c r="EV7" s="99">
        <f t="shared" si="2"/>
        <v>4.2075163398692808E-3</v>
      </c>
      <c r="EW7" s="99">
        <f t="shared" si="2"/>
        <v>4.2207792207792205E-3</v>
      </c>
      <c r="EX7" s="99">
        <f t="shared" si="2"/>
        <v>4.2338709677419359E-3</v>
      </c>
      <c r="EY7" s="99">
        <f t="shared" si="2"/>
        <v>4.2467948717948715E-3</v>
      </c>
      <c r="EZ7" s="99">
        <f t="shared" si="2"/>
        <v>4.2595541401273885E-3</v>
      </c>
      <c r="FA7" s="99">
        <f t="shared" si="2"/>
        <v>4.2721518987341774E-3</v>
      </c>
      <c r="FB7" s="99">
        <f t="shared" si="2"/>
        <v>4.2845911949685534E-3</v>
      </c>
      <c r="FC7" s="99">
        <f t="shared" si="2"/>
        <v>4.2968750000000003E-3</v>
      </c>
      <c r="FD7" s="99">
        <f t="shared" si="2"/>
        <v>4.3090062111801244E-3</v>
      </c>
      <c r="FE7" s="99">
        <f t="shared" si="2"/>
        <v>4.3209876543209872E-3</v>
      </c>
      <c r="FF7" s="99">
        <f t="shared" si="2"/>
        <v>4.3328220858895707E-3</v>
      </c>
      <c r="FG7" s="99">
        <f t="shared" si="2"/>
        <v>4.3445121951219516E-3</v>
      </c>
      <c r="FH7" s="99">
        <f t="shared" si="2"/>
        <v>4.3560606060606064E-3</v>
      </c>
      <c r="FI7" s="99">
        <f t="shared" si="2"/>
        <v>4.3674698795180726E-3</v>
      </c>
      <c r="FJ7" s="99">
        <f t="shared" si="2"/>
        <v>4.3787425149700602E-3</v>
      </c>
      <c r="FK7" s="99">
        <f t="shared" si="2"/>
        <v>4.3898809523809524E-3</v>
      </c>
      <c r="FL7" s="99">
        <f t="shared" si="2"/>
        <v>4.4008875739644966E-3</v>
      </c>
      <c r="FM7" s="99">
        <f t="shared" si="2"/>
        <v>4.4117647058823529E-3</v>
      </c>
      <c r="FN7" s="99">
        <f t="shared" si="2"/>
        <v>4.4225146198830405E-3</v>
      </c>
      <c r="FO7" s="99">
        <f t="shared" si="2"/>
        <v>4.4331395348837207E-3</v>
      </c>
      <c r="FP7" s="99">
        <f t="shared" si="2"/>
        <v>4.4436416184971102E-3</v>
      </c>
      <c r="FQ7" s="99">
        <f t="shared" si="2"/>
        <v>4.4540229885057471E-3</v>
      </c>
      <c r="FR7" s="99">
        <f>FR8/FR9</f>
        <v>4.464285714285714E-3</v>
      </c>
      <c r="FT7" s="504" t="s">
        <v>224</v>
      </c>
      <c r="FU7" s="99" t="s">
        <v>358</v>
      </c>
    </row>
    <row r="8" spans="2:177" s="340" customFormat="1" ht="21" customHeight="1" thickTop="1" thickBot="1">
      <c r="B8" s="492" t="s">
        <v>147</v>
      </c>
      <c r="C8" s="338">
        <f>2/3</f>
        <v>0.66666666666666663</v>
      </c>
      <c r="D8" s="339">
        <v>6.1440000000000001</v>
      </c>
      <c r="E8" s="493">
        <f>32768/D8</f>
        <v>5333.333333333333</v>
      </c>
      <c r="I8" s="498">
        <v>-40</v>
      </c>
      <c r="J8" s="498">
        <v>-39</v>
      </c>
      <c r="K8" s="498">
        <v>-38</v>
      </c>
      <c r="L8" s="498">
        <v>-37</v>
      </c>
      <c r="M8" s="498">
        <v>-36</v>
      </c>
      <c r="N8" s="498">
        <v>-35</v>
      </c>
      <c r="O8" s="498">
        <v>-34</v>
      </c>
      <c r="P8" s="498">
        <v>-33</v>
      </c>
      <c r="Q8" s="498">
        <v>-32</v>
      </c>
      <c r="R8" s="498">
        <v>-31</v>
      </c>
      <c r="S8" s="498">
        <v>-30</v>
      </c>
      <c r="T8" s="498">
        <v>-29</v>
      </c>
      <c r="U8" s="498">
        <v>-28</v>
      </c>
      <c r="V8" s="498">
        <v>-27</v>
      </c>
      <c r="W8" s="498">
        <v>-26</v>
      </c>
      <c r="X8" s="498">
        <v>-25</v>
      </c>
      <c r="Y8" s="498">
        <v>-24</v>
      </c>
      <c r="Z8" s="498">
        <v>-23</v>
      </c>
      <c r="AA8" s="498">
        <v>-22</v>
      </c>
      <c r="AB8" s="498">
        <v>-21</v>
      </c>
      <c r="AC8" s="498">
        <v>-20</v>
      </c>
      <c r="AD8" s="498">
        <v>-19</v>
      </c>
      <c r="AE8" s="498">
        <v>-18</v>
      </c>
      <c r="AF8" s="498">
        <v>-17</v>
      </c>
      <c r="AG8" s="498">
        <v>-16</v>
      </c>
      <c r="AH8" s="498">
        <v>-15</v>
      </c>
      <c r="AI8" s="498">
        <v>-14</v>
      </c>
      <c r="AJ8" s="498">
        <v>-13</v>
      </c>
      <c r="AK8" s="498">
        <v>-12</v>
      </c>
      <c r="AL8" s="498">
        <v>-11</v>
      </c>
      <c r="AM8" s="498">
        <v>-10</v>
      </c>
      <c r="AN8" s="498">
        <v>-9</v>
      </c>
      <c r="AO8" s="498">
        <v>-8</v>
      </c>
      <c r="AP8" s="498">
        <v>-7</v>
      </c>
      <c r="AQ8" s="498">
        <v>-6</v>
      </c>
      <c r="AR8" s="498">
        <v>-5</v>
      </c>
      <c r="AS8" s="498">
        <v>-4</v>
      </c>
      <c r="AT8" s="498">
        <v>-3</v>
      </c>
      <c r="AU8" s="498">
        <v>-2</v>
      </c>
      <c r="AV8" s="498">
        <v>-1</v>
      </c>
      <c r="AW8" s="499">
        <v>0</v>
      </c>
      <c r="AX8" s="500">
        <v>1</v>
      </c>
      <c r="AY8" s="500">
        <v>2</v>
      </c>
      <c r="AZ8" s="500">
        <v>3</v>
      </c>
      <c r="BA8" s="500">
        <v>4</v>
      </c>
      <c r="BB8" s="500">
        <v>5</v>
      </c>
      <c r="BC8" s="500">
        <v>6</v>
      </c>
      <c r="BD8" s="500">
        <v>7</v>
      </c>
      <c r="BE8" s="500">
        <v>8</v>
      </c>
      <c r="BF8" s="500">
        <v>9</v>
      </c>
      <c r="BG8" s="500">
        <v>10</v>
      </c>
      <c r="BH8" s="500">
        <v>11</v>
      </c>
      <c r="BI8" s="500">
        <v>12</v>
      </c>
      <c r="BJ8" s="500">
        <v>13</v>
      </c>
      <c r="BK8" s="500">
        <v>14</v>
      </c>
      <c r="BL8" s="500">
        <v>15</v>
      </c>
      <c r="BM8" s="500">
        <v>16</v>
      </c>
      <c r="BN8" s="500">
        <v>17</v>
      </c>
      <c r="BO8" s="500">
        <v>18</v>
      </c>
      <c r="BP8" s="500">
        <v>19</v>
      </c>
      <c r="BQ8" s="500">
        <v>20</v>
      </c>
      <c r="BR8" s="500">
        <v>21</v>
      </c>
      <c r="BS8" s="500">
        <v>22</v>
      </c>
      <c r="BT8" s="500">
        <v>23</v>
      </c>
      <c r="BU8" s="500">
        <v>24</v>
      </c>
      <c r="BV8" s="500">
        <v>25</v>
      </c>
      <c r="BW8" s="500">
        <v>26</v>
      </c>
      <c r="BX8" s="500">
        <v>27</v>
      </c>
      <c r="BY8" s="500">
        <v>28</v>
      </c>
      <c r="BZ8" s="500">
        <v>29</v>
      </c>
      <c r="CA8" s="500">
        <v>30</v>
      </c>
      <c r="CB8" s="500">
        <v>31</v>
      </c>
      <c r="CC8" s="500">
        <v>32</v>
      </c>
      <c r="CD8" s="500">
        <v>33</v>
      </c>
      <c r="CE8" s="500">
        <v>34</v>
      </c>
      <c r="CF8" s="500">
        <v>35</v>
      </c>
      <c r="CG8" s="500">
        <v>36</v>
      </c>
      <c r="CH8" s="500">
        <v>37</v>
      </c>
      <c r="CI8" s="500">
        <v>38</v>
      </c>
      <c r="CJ8" s="500">
        <v>39</v>
      </c>
      <c r="CK8" s="500">
        <v>40</v>
      </c>
      <c r="CL8" s="500">
        <v>41</v>
      </c>
      <c r="CM8" s="500">
        <v>42</v>
      </c>
      <c r="CN8" s="500">
        <v>43</v>
      </c>
      <c r="CO8" s="500">
        <v>44</v>
      </c>
      <c r="CP8" s="500">
        <v>45</v>
      </c>
      <c r="CQ8" s="500">
        <v>46</v>
      </c>
      <c r="CR8" s="500">
        <v>47</v>
      </c>
      <c r="CS8" s="500">
        <v>48</v>
      </c>
      <c r="CT8" s="500">
        <v>49</v>
      </c>
      <c r="CU8" s="500">
        <v>50</v>
      </c>
      <c r="CV8" s="500">
        <v>51</v>
      </c>
      <c r="CW8" s="500">
        <v>52</v>
      </c>
      <c r="CX8" s="500">
        <v>53</v>
      </c>
      <c r="CY8" s="500">
        <v>54</v>
      </c>
      <c r="CZ8" s="500">
        <v>55</v>
      </c>
      <c r="DA8" s="500">
        <v>56</v>
      </c>
      <c r="DB8" s="500">
        <v>57</v>
      </c>
      <c r="DC8" s="500">
        <v>58</v>
      </c>
      <c r="DD8" s="500">
        <v>59</v>
      </c>
      <c r="DE8" s="500">
        <v>60</v>
      </c>
      <c r="DF8" s="500">
        <v>61</v>
      </c>
      <c r="DG8" s="500">
        <v>62</v>
      </c>
      <c r="DH8" s="500">
        <v>63</v>
      </c>
      <c r="DI8" s="500">
        <v>64</v>
      </c>
      <c r="DJ8" s="500">
        <v>65</v>
      </c>
      <c r="DK8" s="500">
        <v>66</v>
      </c>
      <c r="DL8" s="500">
        <v>67</v>
      </c>
      <c r="DM8" s="500">
        <v>68</v>
      </c>
      <c r="DN8" s="500">
        <v>69</v>
      </c>
      <c r="DO8" s="500">
        <v>70</v>
      </c>
      <c r="DP8" s="500">
        <v>71</v>
      </c>
      <c r="DQ8" s="500">
        <v>72</v>
      </c>
      <c r="DR8" s="500">
        <v>73</v>
      </c>
      <c r="DS8" s="500">
        <v>74</v>
      </c>
      <c r="DT8" s="500">
        <v>75</v>
      </c>
      <c r="DU8" s="500">
        <v>76</v>
      </c>
      <c r="DV8" s="500">
        <v>77</v>
      </c>
      <c r="DW8" s="500">
        <v>78</v>
      </c>
      <c r="DX8" s="500">
        <v>79</v>
      </c>
      <c r="DY8" s="500">
        <v>80</v>
      </c>
      <c r="DZ8" s="500">
        <v>81</v>
      </c>
      <c r="EA8" s="500">
        <v>82</v>
      </c>
      <c r="EB8" s="500">
        <v>83</v>
      </c>
      <c r="EC8" s="500">
        <v>84</v>
      </c>
      <c r="ED8" s="500">
        <v>85</v>
      </c>
      <c r="EE8" s="500">
        <v>86</v>
      </c>
      <c r="EF8" s="500">
        <v>87</v>
      </c>
      <c r="EG8" s="500">
        <v>88</v>
      </c>
      <c r="EH8" s="500">
        <v>89</v>
      </c>
      <c r="EI8" s="500">
        <v>90</v>
      </c>
      <c r="EJ8" s="500">
        <v>91</v>
      </c>
      <c r="EK8" s="500">
        <v>92</v>
      </c>
      <c r="EL8" s="500">
        <v>93</v>
      </c>
      <c r="EM8" s="500">
        <v>94</v>
      </c>
      <c r="EN8" s="500">
        <v>95</v>
      </c>
      <c r="EO8" s="500">
        <v>96</v>
      </c>
      <c r="EP8" s="500">
        <v>97</v>
      </c>
      <c r="EQ8" s="500">
        <v>98</v>
      </c>
      <c r="ER8" s="500">
        <v>99</v>
      </c>
      <c r="ES8" s="500">
        <v>100</v>
      </c>
      <c r="ET8" s="500">
        <v>101</v>
      </c>
      <c r="EU8" s="500">
        <v>102</v>
      </c>
      <c r="EV8" s="500">
        <v>103</v>
      </c>
      <c r="EW8" s="500">
        <v>104</v>
      </c>
      <c r="EX8" s="500">
        <v>105</v>
      </c>
      <c r="EY8" s="500">
        <v>106</v>
      </c>
      <c r="EZ8" s="500">
        <v>107</v>
      </c>
      <c r="FA8" s="500">
        <v>108</v>
      </c>
      <c r="FB8" s="500">
        <v>109</v>
      </c>
      <c r="FC8" s="500">
        <v>110</v>
      </c>
      <c r="FD8" s="500">
        <v>111</v>
      </c>
      <c r="FE8" s="500">
        <v>112</v>
      </c>
      <c r="FF8" s="500">
        <v>113</v>
      </c>
      <c r="FG8" s="500">
        <v>114</v>
      </c>
      <c r="FH8" s="500">
        <v>115</v>
      </c>
      <c r="FI8" s="500">
        <v>116</v>
      </c>
      <c r="FJ8" s="500">
        <v>117</v>
      </c>
      <c r="FK8" s="500">
        <v>118</v>
      </c>
      <c r="FL8" s="500">
        <v>119</v>
      </c>
      <c r="FM8" s="500">
        <v>120</v>
      </c>
      <c r="FN8" s="500">
        <v>121</v>
      </c>
      <c r="FO8" s="500">
        <v>122</v>
      </c>
      <c r="FP8" s="500">
        <v>123</v>
      </c>
      <c r="FQ8" s="500">
        <v>124</v>
      </c>
      <c r="FR8" s="500">
        <v>125</v>
      </c>
      <c r="FT8" s="346" t="s">
        <v>182</v>
      </c>
      <c r="FU8" s="340" t="s">
        <v>395</v>
      </c>
    </row>
    <row r="9" spans="2:177" s="452" customFormat="1" ht="21" customHeight="1" thickTop="1" thickBot="1">
      <c r="B9" s="492" t="s">
        <v>153</v>
      </c>
      <c r="C9" s="181">
        <v>1</v>
      </c>
      <c r="D9" s="341">
        <v>4.0960000000000001</v>
      </c>
      <c r="E9" s="494">
        <f t="shared" ref="E9:E13" si="3">32768/D9</f>
        <v>8000</v>
      </c>
      <c r="G9" s="340"/>
      <c r="H9" s="340" t="s">
        <v>216</v>
      </c>
      <c r="I9" s="342">
        <f>I10*$I$7/1000</f>
        <v>1600</v>
      </c>
      <c r="J9" s="343">
        <f t="shared" ref="J9:BU9" si="4">J10*$I$7/1000</f>
        <v>1760</v>
      </c>
      <c r="K9" s="343">
        <f t="shared" si="4"/>
        <v>1920</v>
      </c>
      <c r="L9" s="343">
        <f t="shared" si="4"/>
        <v>2080</v>
      </c>
      <c r="M9" s="343">
        <f t="shared" si="4"/>
        <v>2240</v>
      </c>
      <c r="N9" s="343">
        <f t="shared" si="4"/>
        <v>2400</v>
      </c>
      <c r="O9" s="343">
        <f t="shared" si="4"/>
        <v>2560</v>
      </c>
      <c r="P9" s="343">
        <f t="shared" si="4"/>
        <v>2720</v>
      </c>
      <c r="Q9" s="343">
        <f t="shared" si="4"/>
        <v>2880</v>
      </c>
      <c r="R9" s="343">
        <f t="shared" si="4"/>
        <v>3040</v>
      </c>
      <c r="S9" s="343">
        <f t="shared" si="4"/>
        <v>3200</v>
      </c>
      <c r="T9" s="343">
        <f t="shared" si="4"/>
        <v>3360</v>
      </c>
      <c r="U9" s="343">
        <f t="shared" si="4"/>
        <v>3520</v>
      </c>
      <c r="V9" s="343">
        <f t="shared" si="4"/>
        <v>3680</v>
      </c>
      <c r="W9" s="343">
        <f t="shared" si="4"/>
        <v>3840</v>
      </c>
      <c r="X9" s="343">
        <f t="shared" si="4"/>
        <v>4000</v>
      </c>
      <c r="Y9" s="343">
        <f t="shared" si="4"/>
        <v>4160</v>
      </c>
      <c r="Z9" s="343">
        <f t="shared" si="4"/>
        <v>4320</v>
      </c>
      <c r="AA9" s="343">
        <f t="shared" si="4"/>
        <v>4480</v>
      </c>
      <c r="AB9" s="343">
        <f t="shared" si="4"/>
        <v>4640</v>
      </c>
      <c r="AC9" s="343">
        <f t="shared" si="4"/>
        <v>4800</v>
      </c>
      <c r="AD9" s="343">
        <f t="shared" si="4"/>
        <v>4960</v>
      </c>
      <c r="AE9" s="343">
        <f t="shared" si="4"/>
        <v>5120</v>
      </c>
      <c r="AF9" s="343">
        <f t="shared" si="4"/>
        <v>5280</v>
      </c>
      <c r="AG9" s="343">
        <f t="shared" si="4"/>
        <v>5440</v>
      </c>
      <c r="AH9" s="343">
        <f t="shared" si="4"/>
        <v>5600</v>
      </c>
      <c r="AI9" s="343">
        <f t="shared" si="4"/>
        <v>5760</v>
      </c>
      <c r="AJ9" s="343">
        <f t="shared" si="4"/>
        <v>5920</v>
      </c>
      <c r="AK9" s="343">
        <f t="shared" si="4"/>
        <v>6080</v>
      </c>
      <c r="AL9" s="343">
        <f t="shared" si="4"/>
        <v>6240</v>
      </c>
      <c r="AM9" s="343">
        <f t="shared" si="4"/>
        <v>6400</v>
      </c>
      <c r="AN9" s="343">
        <f t="shared" si="4"/>
        <v>6560</v>
      </c>
      <c r="AO9" s="343">
        <f t="shared" si="4"/>
        <v>6720</v>
      </c>
      <c r="AP9" s="343">
        <f t="shared" si="4"/>
        <v>6880</v>
      </c>
      <c r="AQ9" s="343">
        <f t="shared" si="4"/>
        <v>7040</v>
      </c>
      <c r="AR9" s="343">
        <f t="shared" si="4"/>
        <v>7200</v>
      </c>
      <c r="AS9" s="343">
        <f t="shared" si="4"/>
        <v>7360</v>
      </c>
      <c r="AT9" s="343">
        <f t="shared" si="4"/>
        <v>7520</v>
      </c>
      <c r="AU9" s="343">
        <f t="shared" si="4"/>
        <v>7680</v>
      </c>
      <c r="AV9" s="343">
        <f t="shared" si="4"/>
        <v>7840</v>
      </c>
      <c r="AW9" s="453">
        <f t="shared" si="4"/>
        <v>8000</v>
      </c>
      <c r="AX9" s="343">
        <f t="shared" si="4"/>
        <v>8160</v>
      </c>
      <c r="AY9" s="343">
        <f t="shared" si="4"/>
        <v>8320</v>
      </c>
      <c r="AZ9" s="343">
        <f t="shared" si="4"/>
        <v>8480</v>
      </c>
      <c r="BA9" s="343">
        <f t="shared" si="4"/>
        <v>8640</v>
      </c>
      <c r="BB9" s="343">
        <f t="shared" si="4"/>
        <v>8800</v>
      </c>
      <c r="BC9" s="343">
        <f t="shared" si="4"/>
        <v>8960</v>
      </c>
      <c r="BD9" s="343">
        <f t="shared" si="4"/>
        <v>9120</v>
      </c>
      <c r="BE9" s="343">
        <f t="shared" si="4"/>
        <v>9280</v>
      </c>
      <c r="BF9" s="343">
        <f t="shared" si="4"/>
        <v>9440</v>
      </c>
      <c r="BG9" s="343">
        <f t="shared" si="4"/>
        <v>9600</v>
      </c>
      <c r="BH9" s="343">
        <f t="shared" si="4"/>
        <v>9760</v>
      </c>
      <c r="BI9" s="343">
        <f t="shared" si="4"/>
        <v>9920</v>
      </c>
      <c r="BJ9" s="343">
        <f t="shared" si="4"/>
        <v>10080</v>
      </c>
      <c r="BK9" s="343">
        <f t="shared" si="4"/>
        <v>10240</v>
      </c>
      <c r="BL9" s="343">
        <f t="shared" si="4"/>
        <v>10400</v>
      </c>
      <c r="BM9" s="343">
        <f t="shared" si="4"/>
        <v>10560</v>
      </c>
      <c r="BN9" s="343">
        <f t="shared" si="4"/>
        <v>10720</v>
      </c>
      <c r="BO9" s="343">
        <f t="shared" si="4"/>
        <v>10880</v>
      </c>
      <c r="BP9" s="343">
        <f t="shared" si="4"/>
        <v>11040</v>
      </c>
      <c r="BQ9" s="343">
        <f t="shared" si="4"/>
        <v>11200</v>
      </c>
      <c r="BR9" s="343">
        <f t="shared" si="4"/>
        <v>11360</v>
      </c>
      <c r="BS9" s="343">
        <f t="shared" si="4"/>
        <v>11520</v>
      </c>
      <c r="BT9" s="343">
        <f t="shared" si="4"/>
        <v>11680</v>
      </c>
      <c r="BU9" s="343">
        <f t="shared" si="4"/>
        <v>11840</v>
      </c>
      <c r="BV9" s="343">
        <f t="shared" ref="BV9:EG9" si="5">BV10*$I$7/1000</f>
        <v>12000</v>
      </c>
      <c r="BW9" s="343">
        <f t="shared" si="5"/>
        <v>12160</v>
      </c>
      <c r="BX9" s="343">
        <f t="shared" si="5"/>
        <v>12320</v>
      </c>
      <c r="BY9" s="343">
        <f t="shared" si="5"/>
        <v>12480</v>
      </c>
      <c r="BZ9" s="343">
        <f t="shared" si="5"/>
        <v>12640</v>
      </c>
      <c r="CA9" s="343">
        <f t="shared" si="5"/>
        <v>12800</v>
      </c>
      <c r="CB9" s="343">
        <f t="shared" si="5"/>
        <v>12960</v>
      </c>
      <c r="CC9" s="343">
        <f t="shared" si="5"/>
        <v>13120</v>
      </c>
      <c r="CD9" s="343">
        <f t="shared" si="5"/>
        <v>13280</v>
      </c>
      <c r="CE9" s="343">
        <f t="shared" si="5"/>
        <v>13440</v>
      </c>
      <c r="CF9" s="343">
        <f t="shared" si="5"/>
        <v>13600</v>
      </c>
      <c r="CG9" s="343">
        <f t="shared" si="5"/>
        <v>13760</v>
      </c>
      <c r="CH9" s="343">
        <f t="shared" si="5"/>
        <v>13920</v>
      </c>
      <c r="CI9" s="343">
        <f t="shared" si="5"/>
        <v>14080</v>
      </c>
      <c r="CJ9" s="343">
        <f t="shared" si="5"/>
        <v>14240</v>
      </c>
      <c r="CK9" s="343">
        <f t="shared" si="5"/>
        <v>14400</v>
      </c>
      <c r="CL9" s="343">
        <f t="shared" si="5"/>
        <v>14560</v>
      </c>
      <c r="CM9" s="343">
        <f t="shared" si="5"/>
        <v>14720</v>
      </c>
      <c r="CN9" s="343">
        <f t="shared" si="5"/>
        <v>14880</v>
      </c>
      <c r="CO9" s="343">
        <f t="shared" si="5"/>
        <v>15040</v>
      </c>
      <c r="CP9" s="343">
        <f t="shared" si="5"/>
        <v>15200</v>
      </c>
      <c r="CQ9" s="343">
        <f t="shared" si="5"/>
        <v>15360</v>
      </c>
      <c r="CR9" s="343">
        <f t="shared" si="5"/>
        <v>15520</v>
      </c>
      <c r="CS9" s="343">
        <f t="shared" si="5"/>
        <v>15680</v>
      </c>
      <c r="CT9" s="343">
        <f t="shared" si="5"/>
        <v>15840</v>
      </c>
      <c r="CU9" s="343">
        <f t="shared" si="5"/>
        <v>16000</v>
      </c>
      <c r="CV9" s="343">
        <f t="shared" si="5"/>
        <v>16160</v>
      </c>
      <c r="CW9" s="343">
        <f t="shared" si="5"/>
        <v>16320</v>
      </c>
      <c r="CX9" s="343">
        <f t="shared" si="5"/>
        <v>16480</v>
      </c>
      <c r="CY9" s="343">
        <f t="shared" si="5"/>
        <v>16640</v>
      </c>
      <c r="CZ9" s="343">
        <f t="shared" si="5"/>
        <v>16800</v>
      </c>
      <c r="DA9" s="343">
        <f t="shared" si="5"/>
        <v>16960</v>
      </c>
      <c r="DB9" s="343">
        <f t="shared" si="5"/>
        <v>17120</v>
      </c>
      <c r="DC9" s="343">
        <f t="shared" si="5"/>
        <v>17280</v>
      </c>
      <c r="DD9" s="343">
        <f t="shared" si="5"/>
        <v>17440</v>
      </c>
      <c r="DE9" s="343">
        <f t="shared" si="5"/>
        <v>17600</v>
      </c>
      <c r="DF9" s="343">
        <f t="shared" si="5"/>
        <v>17760</v>
      </c>
      <c r="DG9" s="343">
        <f t="shared" si="5"/>
        <v>17920</v>
      </c>
      <c r="DH9" s="343">
        <f t="shared" si="5"/>
        <v>18080</v>
      </c>
      <c r="DI9" s="343">
        <f t="shared" si="5"/>
        <v>18240</v>
      </c>
      <c r="DJ9" s="343">
        <f t="shared" si="5"/>
        <v>18400</v>
      </c>
      <c r="DK9" s="343">
        <f t="shared" si="5"/>
        <v>18560</v>
      </c>
      <c r="DL9" s="343">
        <f t="shared" si="5"/>
        <v>18720</v>
      </c>
      <c r="DM9" s="343">
        <f t="shared" si="5"/>
        <v>18880</v>
      </c>
      <c r="DN9" s="343">
        <f t="shared" si="5"/>
        <v>19040</v>
      </c>
      <c r="DO9" s="343">
        <f t="shared" si="5"/>
        <v>19200</v>
      </c>
      <c r="DP9" s="343">
        <f t="shared" si="5"/>
        <v>19360</v>
      </c>
      <c r="DQ9" s="343">
        <f t="shared" si="5"/>
        <v>19520</v>
      </c>
      <c r="DR9" s="343">
        <f t="shared" si="5"/>
        <v>19680</v>
      </c>
      <c r="DS9" s="343">
        <f t="shared" si="5"/>
        <v>19840</v>
      </c>
      <c r="DT9" s="343">
        <f t="shared" si="5"/>
        <v>20000</v>
      </c>
      <c r="DU9" s="343">
        <f t="shared" si="5"/>
        <v>20160</v>
      </c>
      <c r="DV9" s="343">
        <f t="shared" si="5"/>
        <v>20320</v>
      </c>
      <c r="DW9" s="343">
        <f t="shared" si="5"/>
        <v>20480</v>
      </c>
      <c r="DX9" s="343">
        <f t="shared" si="5"/>
        <v>20640</v>
      </c>
      <c r="DY9" s="343">
        <f t="shared" si="5"/>
        <v>20800</v>
      </c>
      <c r="DZ9" s="343">
        <f t="shared" si="5"/>
        <v>20960</v>
      </c>
      <c r="EA9" s="343">
        <f t="shared" si="5"/>
        <v>21120</v>
      </c>
      <c r="EB9" s="343">
        <f t="shared" si="5"/>
        <v>21280</v>
      </c>
      <c r="EC9" s="343">
        <f t="shared" si="5"/>
        <v>21440</v>
      </c>
      <c r="ED9" s="343">
        <f t="shared" si="5"/>
        <v>21600</v>
      </c>
      <c r="EE9" s="343">
        <f t="shared" si="5"/>
        <v>21760</v>
      </c>
      <c r="EF9" s="343">
        <f t="shared" si="5"/>
        <v>21920</v>
      </c>
      <c r="EG9" s="343">
        <f t="shared" si="5"/>
        <v>22080</v>
      </c>
      <c r="EH9" s="343">
        <f t="shared" ref="EH9:FR9" si="6">EH10*$I$7/1000</f>
        <v>22240</v>
      </c>
      <c r="EI9" s="343">
        <f t="shared" si="6"/>
        <v>22400</v>
      </c>
      <c r="EJ9" s="343">
        <f t="shared" si="6"/>
        <v>22560</v>
      </c>
      <c r="EK9" s="343">
        <f t="shared" si="6"/>
        <v>22720</v>
      </c>
      <c r="EL9" s="343">
        <f t="shared" si="6"/>
        <v>22880</v>
      </c>
      <c r="EM9" s="343">
        <f t="shared" si="6"/>
        <v>23040</v>
      </c>
      <c r="EN9" s="343">
        <f t="shared" si="6"/>
        <v>23200</v>
      </c>
      <c r="EO9" s="343">
        <f t="shared" si="6"/>
        <v>23360</v>
      </c>
      <c r="EP9" s="343">
        <f t="shared" si="6"/>
        <v>23520</v>
      </c>
      <c r="EQ9" s="343">
        <f t="shared" si="6"/>
        <v>23680</v>
      </c>
      <c r="ER9" s="343">
        <f t="shared" si="6"/>
        <v>23840</v>
      </c>
      <c r="ES9" s="343">
        <f t="shared" si="6"/>
        <v>24000</v>
      </c>
      <c r="ET9" s="343">
        <f t="shared" si="6"/>
        <v>24160</v>
      </c>
      <c r="EU9" s="343">
        <f t="shared" si="6"/>
        <v>24320</v>
      </c>
      <c r="EV9" s="343">
        <f t="shared" si="6"/>
        <v>24480</v>
      </c>
      <c r="EW9" s="343">
        <f t="shared" si="6"/>
        <v>24640</v>
      </c>
      <c r="EX9" s="343">
        <f t="shared" si="6"/>
        <v>24800</v>
      </c>
      <c r="EY9" s="343">
        <f t="shared" si="6"/>
        <v>24960</v>
      </c>
      <c r="EZ9" s="343">
        <f t="shared" si="6"/>
        <v>25120</v>
      </c>
      <c r="FA9" s="343">
        <f t="shared" si="6"/>
        <v>25280</v>
      </c>
      <c r="FB9" s="343">
        <f t="shared" si="6"/>
        <v>25440</v>
      </c>
      <c r="FC9" s="343">
        <f t="shared" si="6"/>
        <v>25600</v>
      </c>
      <c r="FD9" s="343">
        <f t="shared" si="6"/>
        <v>25760</v>
      </c>
      <c r="FE9" s="343">
        <f t="shared" si="6"/>
        <v>25920</v>
      </c>
      <c r="FF9" s="343">
        <f t="shared" si="6"/>
        <v>26080</v>
      </c>
      <c r="FG9" s="343">
        <f t="shared" si="6"/>
        <v>26240</v>
      </c>
      <c r="FH9" s="343">
        <f t="shared" si="6"/>
        <v>26400</v>
      </c>
      <c r="FI9" s="343">
        <f t="shared" si="6"/>
        <v>26560</v>
      </c>
      <c r="FJ9" s="343">
        <f t="shared" si="6"/>
        <v>26720</v>
      </c>
      <c r="FK9" s="343">
        <f t="shared" si="6"/>
        <v>26880</v>
      </c>
      <c r="FL9" s="343">
        <f t="shared" si="6"/>
        <v>27040</v>
      </c>
      <c r="FM9" s="343">
        <f t="shared" si="6"/>
        <v>27200</v>
      </c>
      <c r="FN9" s="343">
        <f t="shared" si="6"/>
        <v>27360</v>
      </c>
      <c r="FO9" s="343">
        <f t="shared" si="6"/>
        <v>27520</v>
      </c>
      <c r="FP9" s="343">
        <f t="shared" si="6"/>
        <v>27680</v>
      </c>
      <c r="FQ9" s="343">
        <f t="shared" si="6"/>
        <v>27840</v>
      </c>
      <c r="FR9" s="344">
        <f t="shared" si="6"/>
        <v>28000</v>
      </c>
      <c r="FS9" s="454"/>
      <c r="FT9" s="346" t="s">
        <v>220</v>
      </c>
      <c r="FU9" s="340" t="s">
        <v>394</v>
      </c>
    </row>
    <row r="10" spans="2:177" s="452" customFormat="1" ht="21" customHeight="1" thickTop="1">
      <c r="B10" s="495" t="s">
        <v>148</v>
      </c>
      <c r="C10" s="347">
        <v>2</v>
      </c>
      <c r="D10" s="348">
        <v>2.048</v>
      </c>
      <c r="E10" s="494">
        <f t="shared" si="3"/>
        <v>16000</v>
      </c>
      <c r="H10" s="340" t="s">
        <v>223</v>
      </c>
      <c r="I10" s="501">
        <v>100</v>
      </c>
      <c r="J10" s="501">
        <v>110</v>
      </c>
      <c r="K10" s="501">
        <v>120</v>
      </c>
      <c r="L10" s="501">
        <v>130</v>
      </c>
      <c r="M10" s="501">
        <v>140</v>
      </c>
      <c r="N10" s="501">
        <v>150</v>
      </c>
      <c r="O10" s="501">
        <v>160</v>
      </c>
      <c r="P10" s="501">
        <v>170</v>
      </c>
      <c r="Q10" s="501">
        <v>180</v>
      </c>
      <c r="R10" s="501">
        <v>190</v>
      </c>
      <c r="S10" s="501">
        <v>200</v>
      </c>
      <c r="T10" s="501">
        <v>210</v>
      </c>
      <c r="U10" s="501">
        <v>220</v>
      </c>
      <c r="V10" s="501">
        <v>230</v>
      </c>
      <c r="W10" s="501">
        <v>240</v>
      </c>
      <c r="X10" s="501">
        <v>250</v>
      </c>
      <c r="Y10" s="501">
        <v>260</v>
      </c>
      <c r="Z10" s="501">
        <v>270</v>
      </c>
      <c r="AA10" s="501">
        <v>280</v>
      </c>
      <c r="AB10" s="501">
        <v>290</v>
      </c>
      <c r="AC10" s="501">
        <v>300</v>
      </c>
      <c r="AD10" s="501">
        <v>310</v>
      </c>
      <c r="AE10" s="501">
        <v>320</v>
      </c>
      <c r="AF10" s="501">
        <v>330</v>
      </c>
      <c r="AG10" s="501">
        <v>340</v>
      </c>
      <c r="AH10" s="501">
        <v>350</v>
      </c>
      <c r="AI10" s="501">
        <v>360</v>
      </c>
      <c r="AJ10" s="501">
        <v>370</v>
      </c>
      <c r="AK10" s="501">
        <v>380</v>
      </c>
      <c r="AL10" s="501">
        <v>390</v>
      </c>
      <c r="AM10" s="501">
        <v>400</v>
      </c>
      <c r="AN10" s="501">
        <v>410</v>
      </c>
      <c r="AO10" s="501">
        <v>420</v>
      </c>
      <c r="AP10" s="501">
        <v>430</v>
      </c>
      <c r="AQ10" s="501">
        <v>440</v>
      </c>
      <c r="AR10" s="501">
        <v>450</v>
      </c>
      <c r="AS10" s="501">
        <v>460</v>
      </c>
      <c r="AT10" s="501">
        <v>470</v>
      </c>
      <c r="AU10" s="501">
        <v>480</v>
      </c>
      <c r="AV10" s="501">
        <v>490</v>
      </c>
      <c r="AW10" s="502">
        <v>500</v>
      </c>
      <c r="AX10" s="501">
        <v>510</v>
      </c>
      <c r="AY10" s="501">
        <v>520</v>
      </c>
      <c r="AZ10" s="501">
        <v>530</v>
      </c>
      <c r="BA10" s="501">
        <v>540</v>
      </c>
      <c r="BB10" s="501">
        <v>550</v>
      </c>
      <c r="BC10" s="501">
        <v>560</v>
      </c>
      <c r="BD10" s="501">
        <v>570</v>
      </c>
      <c r="BE10" s="501">
        <v>580</v>
      </c>
      <c r="BF10" s="501">
        <v>590</v>
      </c>
      <c r="BG10" s="501">
        <v>600</v>
      </c>
      <c r="BH10" s="501">
        <v>610</v>
      </c>
      <c r="BI10" s="501">
        <v>620</v>
      </c>
      <c r="BJ10" s="501">
        <v>630</v>
      </c>
      <c r="BK10" s="501">
        <v>640</v>
      </c>
      <c r="BL10" s="501">
        <v>650</v>
      </c>
      <c r="BM10" s="501">
        <v>660</v>
      </c>
      <c r="BN10" s="501">
        <v>670</v>
      </c>
      <c r="BO10" s="501">
        <v>680</v>
      </c>
      <c r="BP10" s="501">
        <v>690</v>
      </c>
      <c r="BQ10" s="501">
        <v>700</v>
      </c>
      <c r="BR10" s="501">
        <v>710</v>
      </c>
      <c r="BS10" s="501">
        <v>720</v>
      </c>
      <c r="BT10" s="501">
        <v>730</v>
      </c>
      <c r="BU10" s="501">
        <v>740</v>
      </c>
      <c r="BV10" s="501">
        <v>750</v>
      </c>
      <c r="BW10" s="501">
        <v>760</v>
      </c>
      <c r="BX10" s="501">
        <v>770</v>
      </c>
      <c r="BY10" s="501">
        <v>780</v>
      </c>
      <c r="BZ10" s="501">
        <v>790</v>
      </c>
      <c r="CA10" s="501">
        <v>800</v>
      </c>
      <c r="CB10" s="501">
        <v>810</v>
      </c>
      <c r="CC10" s="501">
        <v>820</v>
      </c>
      <c r="CD10" s="501">
        <v>830</v>
      </c>
      <c r="CE10" s="501">
        <v>840</v>
      </c>
      <c r="CF10" s="501">
        <v>850</v>
      </c>
      <c r="CG10" s="501">
        <v>860</v>
      </c>
      <c r="CH10" s="501">
        <v>870</v>
      </c>
      <c r="CI10" s="501">
        <v>880</v>
      </c>
      <c r="CJ10" s="501">
        <v>890</v>
      </c>
      <c r="CK10" s="501">
        <v>900</v>
      </c>
      <c r="CL10" s="501">
        <v>910</v>
      </c>
      <c r="CM10" s="501">
        <v>920</v>
      </c>
      <c r="CN10" s="501">
        <v>930</v>
      </c>
      <c r="CO10" s="501">
        <v>940</v>
      </c>
      <c r="CP10" s="501">
        <v>950</v>
      </c>
      <c r="CQ10" s="501">
        <v>960</v>
      </c>
      <c r="CR10" s="501">
        <v>970</v>
      </c>
      <c r="CS10" s="501">
        <v>980</v>
      </c>
      <c r="CT10" s="501">
        <v>990</v>
      </c>
      <c r="CU10" s="501">
        <v>1000</v>
      </c>
      <c r="CV10" s="501">
        <v>1010</v>
      </c>
      <c r="CW10" s="501">
        <v>1020</v>
      </c>
      <c r="CX10" s="501">
        <v>1030</v>
      </c>
      <c r="CY10" s="501">
        <v>1040</v>
      </c>
      <c r="CZ10" s="501">
        <v>1050</v>
      </c>
      <c r="DA10" s="501">
        <v>1060</v>
      </c>
      <c r="DB10" s="501">
        <v>1070</v>
      </c>
      <c r="DC10" s="501">
        <v>1080</v>
      </c>
      <c r="DD10" s="501">
        <v>1090</v>
      </c>
      <c r="DE10" s="501">
        <v>1100</v>
      </c>
      <c r="DF10" s="501">
        <v>1110</v>
      </c>
      <c r="DG10" s="501">
        <v>1120</v>
      </c>
      <c r="DH10" s="501">
        <v>1130</v>
      </c>
      <c r="DI10" s="501">
        <v>1140</v>
      </c>
      <c r="DJ10" s="501">
        <v>1150</v>
      </c>
      <c r="DK10" s="501">
        <v>1160</v>
      </c>
      <c r="DL10" s="501">
        <v>1170</v>
      </c>
      <c r="DM10" s="501">
        <v>1180</v>
      </c>
      <c r="DN10" s="501">
        <v>1190</v>
      </c>
      <c r="DO10" s="501">
        <v>1200</v>
      </c>
      <c r="DP10" s="501">
        <v>1210</v>
      </c>
      <c r="DQ10" s="501">
        <v>1220</v>
      </c>
      <c r="DR10" s="501">
        <v>1230</v>
      </c>
      <c r="DS10" s="501">
        <v>1240</v>
      </c>
      <c r="DT10" s="501">
        <v>1250</v>
      </c>
      <c r="DU10" s="501">
        <v>1260</v>
      </c>
      <c r="DV10" s="501">
        <v>1270</v>
      </c>
      <c r="DW10" s="501">
        <v>1280</v>
      </c>
      <c r="DX10" s="501">
        <v>1290</v>
      </c>
      <c r="DY10" s="501">
        <v>1300</v>
      </c>
      <c r="DZ10" s="501">
        <v>1310</v>
      </c>
      <c r="EA10" s="501">
        <v>1320</v>
      </c>
      <c r="EB10" s="501">
        <v>1330</v>
      </c>
      <c r="EC10" s="501">
        <v>1340</v>
      </c>
      <c r="ED10" s="501">
        <v>1350</v>
      </c>
      <c r="EE10" s="501">
        <v>1360</v>
      </c>
      <c r="EF10" s="501">
        <v>1370</v>
      </c>
      <c r="EG10" s="501">
        <v>1380</v>
      </c>
      <c r="EH10" s="501">
        <v>1390</v>
      </c>
      <c r="EI10" s="501">
        <v>1400</v>
      </c>
      <c r="EJ10" s="501">
        <v>1410</v>
      </c>
      <c r="EK10" s="501">
        <v>1420</v>
      </c>
      <c r="EL10" s="501">
        <v>1430</v>
      </c>
      <c r="EM10" s="501">
        <v>1440</v>
      </c>
      <c r="EN10" s="501">
        <v>1450</v>
      </c>
      <c r="EO10" s="501">
        <v>1460</v>
      </c>
      <c r="EP10" s="501">
        <v>1470</v>
      </c>
      <c r="EQ10" s="501">
        <v>1480</v>
      </c>
      <c r="ER10" s="501">
        <v>1490</v>
      </c>
      <c r="ES10" s="501">
        <v>1500</v>
      </c>
      <c r="ET10" s="501">
        <v>1510</v>
      </c>
      <c r="EU10" s="501">
        <v>1520</v>
      </c>
      <c r="EV10" s="501">
        <v>1530</v>
      </c>
      <c r="EW10" s="501">
        <v>1540</v>
      </c>
      <c r="EX10" s="501">
        <v>1550</v>
      </c>
      <c r="EY10" s="501">
        <v>1560</v>
      </c>
      <c r="EZ10" s="501">
        <v>1570</v>
      </c>
      <c r="FA10" s="501">
        <v>1580</v>
      </c>
      <c r="FB10" s="501">
        <v>1590</v>
      </c>
      <c r="FC10" s="501">
        <v>1600</v>
      </c>
      <c r="FD10" s="501">
        <v>1610</v>
      </c>
      <c r="FE10" s="501">
        <v>1620</v>
      </c>
      <c r="FF10" s="501">
        <v>1630</v>
      </c>
      <c r="FG10" s="501">
        <v>1640</v>
      </c>
      <c r="FH10" s="501">
        <v>1650</v>
      </c>
      <c r="FI10" s="501">
        <v>1660</v>
      </c>
      <c r="FJ10" s="501">
        <v>1670</v>
      </c>
      <c r="FK10" s="501">
        <v>1680</v>
      </c>
      <c r="FL10" s="501">
        <v>1690</v>
      </c>
      <c r="FM10" s="501">
        <v>1700</v>
      </c>
      <c r="FN10" s="501">
        <v>1710</v>
      </c>
      <c r="FO10" s="501">
        <v>1720</v>
      </c>
      <c r="FP10" s="501">
        <v>1730</v>
      </c>
      <c r="FQ10" s="501">
        <v>1740</v>
      </c>
      <c r="FR10" s="501">
        <v>1750</v>
      </c>
      <c r="FT10" s="346" t="s">
        <v>145</v>
      </c>
      <c r="FU10" s="340"/>
    </row>
    <row r="11" spans="2:177" s="452" customFormat="1" ht="21" customHeight="1">
      <c r="B11" s="496" t="s">
        <v>154</v>
      </c>
      <c r="C11" s="190">
        <v>4</v>
      </c>
      <c r="D11" s="349">
        <v>1.024</v>
      </c>
      <c r="E11" s="351">
        <f t="shared" si="3"/>
        <v>32000</v>
      </c>
      <c r="H11" s="452" t="s">
        <v>240</v>
      </c>
      <c r="I11" s="503">
        <f>I9/I10</f>
        <v>16</v>
      </c>
      <c r="J11" s="503">
        <f t="shared" ref="J11:BU11" si="7">J9/J10</f>
        <v>16</v>
      </c>
      <c r="K11" s="503">
        <f t="shared" si="7"/>
        <v>16</v>
      </c>
      <c r="L11" s="503">
        <f t="shared" si="7"/>
        <v>16</v>
      </c>
      <c r="M11" s="503">
        <f t="shared" si="7"/>
        <v>16</v>
      </c>
      <c r="N11" s="503">
        <f t="shared" si="7"/>
        <v>16</v>
      </c>
      <c r="O11" s="503">
        <f t="shared" si="7"/>
        <v>16</v>
      </c>
      <c r="P11" s="503">
        <f t="shared" si="7"/>
        <v>16</v>
      </c>
      <c r="Q11" s="503">
        <f t="shared" si="7"/>
        <v>16</v>
      </c>
      <c r="R11" s="503">
        <f t="shared" si="7"/>
        <v>16</v>
      </c>
      <c r="S11" s="503">
        <f t="shared" si="7"/>
        <v>16</v>
      </c>
      <c r="T11" s="503">
        <f t="shared" si="7"/>
        <v>16</v>
      </c>
      <c r="U11" s="503">
        <f t="shared" si="7"/>
        <v>16</v>
      </c>
      <c r="V11" s="503">
        <f t="shared" si="7"/>
        <v>16</v>
      </c>
      <c r="W11" s="503">
        <f t="shared" si="7"/>
        <v>16</v>
      </c>
      <c r="X11" s="503">
        <f t="shared" si="7"/>
        <v>16</v>
      </c>
      <c r="Y11" s="503">
        <f t="shared" si="7"/>
        <v>16</v>
      </c>
      <c r="Z11" s="503">
        <f t="shared" si="7"/>
        <v>16</v>
      </c>
      <c r="AA11" s="503">
        <f t="shared" si="7"/>
        <v>16</v>
      </c>
      <c r="AB11" s="503">
        <f t="shared" si="7"/>
        <v>16</v>
      </c>
      <c r="AC11" s="503">
        <f t="shared" si="7"/>
        <v>16</v>
      </c>
      <c r="AD11" s="503">
        <f t="shared" si="7"/>
        <v>16</v>
      </c>
      <c r="AE11" s="503">
        <f t="shared" si="7"/>
        <v>16</v>
      </c>
      <c r="AF11" s="503">
        <f t="shared" si="7"/>
        <v>16</v>
      </c>
      <c r="AG11" s="503">
        <f t="shared" si="7"/>
        <v>16</v>
      </c>
      <c r="AH11" s="503">
        <f t="shared" si="7"/>
        <v>16</v>
      </c>
      <c r="AI11" s="503">
        <f t="shared" si="7"/>
        <v>16</v>
      </c>
      <c r="AJ11" s="503">
        <f t="shared" si="7"/>
        <v>16</v>
      </c>
      <c r="AK11" s="503">
        <f t="shared" si="7"/>
        <v>16</v>
      </c>
      <c r="AL11" s="503">
        <f t="shared" si="7"/>
        <v>16</v>
      </c>
      <c r="AM11" s="503">
        <f t="shared" si="7"/>
        <v>16</v>
      </c>
      <c r="AN11" s="503">
        <f t="shared" si="7"/>
        <v>16</v>
      </c>
      <c r="AO11" s="503">
        <f t="shared" si="7"/>
        <v>16</v>
      </c>
      <c r="AP11" s="503">
        <f t="shared" si="7"/>
        <v>16</v>
      </c>
      <c r="AQ11" s="503">
        <f t="shared" si="7"/>
        <v>16</v>
      </c>
      <c r="AR11" s="503">
        <f t="shared" si="7"/>
        <v>16</v>
      </c>
      <c r="AS11" s="503">
        <f t="shared" si="7"/>
        <v>16</v>
      </c>
      <c r="AT11" s="503">
        <f t="shared" si="7"/>
        <v>16</v>
      </c>
      <c r="AU11" s="503">
        <f t="shared" si="7"/>
        <v>16</v>
      </c>
      <c r="AV11" s="503">
        <f t="shared" si="7"/>
        <v>16</v>
      </c>
      <c r="AW11" s="503">
        <f t="shared" si="7"/>
        <v>16</v>
      </c>
      <c r="AX11" s="503">
        <f t="shared" si="7"/>
        <v>16</v>
      </c>
      <c r="AY11" s="503">
        <f t="shared" si="7"/>
        <v>16</v>
      </c>
      <c r="AZ11" s="503">
        <f t="shared" si="7"/>
        <v>16</v>
      </c>
      <c r="BA11" s="503">
        <f t="shared" si="7"/>
        <v>16</v>
      </c>
      <c r="BB11" s="503">
        <f t="shared" si="7"/>
        <v>16</v>
      </c>
      <c r="BC11" s="503">
        <f t="shared" si="7"/>
        <v>16</v>
      </c>
      <c r="BD11" s="503">
        <f t="shared" si="7"/>
        <v>16</v>
      </c>
      <c r="BE11" s="503">
        <f t="shared" si="7"/>
        <v>16</v>
      </c>
      <c r="BF11" s="503">
        <f t="shared" si="7"/>
        <v>16</v>
      </c>
      <c r="BG11" s="503">
        <f t="shared" si="7"/>
        <v>16</v>
      </c>
      <c r="BH11" s="503">
        <f t="shared" si="7"/>
        <v>16</v>
      </c>
      <c r="BI11" s="503">
        <f t="shared" si="7"/>
        <v>16</v>
      </c>
      <c r="BJ11" s="503">
        <f t="shared" si="7"/>
        <v>16</v>
      </c>
      <c r="BK11" s="503">
        <f t="shared" si="7"/>
        <v>16</v>
      </c>
      <c r="BL11" s="503">
        <f t="shared" si="7"/>
        <v>16</v>
      </c>
      <c r="BM11" s="503">
        <f t="shared" si="7"/>
        <v>16</v>
      </c>
      <c r="BN11" s="503">
        <f t="shared" si="7"/>
        <v>16</v>
      </c>
      <c r="BO11" s="503">
        <f t="shared" si="7"/>
        <v>16</v>
      </c>
      <c r="BP11" s="503">
        <f t="shared" si="7"/>
        <v>16</v>
      </c>
      <c r="BQ11" s="503">
        <f t="shared" si="7"/>
        <v>16</v>
      </c>
      <c r="BR11" s="503">
        <f t="shared" si="7"/>
        <v>16</v>
      </c>
      <c r="BS11" s="503">
        <f t="shared" si="7"/>
        <v>16</v>
      </c>
      <c r="BT11" s="503">
        <f t="shared" si="7"/>
        <v>16</v>
      </c>
      <c r="BU11" s="503">
        <f t="shared" si="7"/>
        <v>16</v>
      </c>
      <c r="BV11" s="503">
        <f t="shared" ref="BV11:EG11" si="8">BV9/BV10</f>
        <v>16</v>
      </c>
      <c r="BW11" s="503">
        <f t="shared" si="8"/>
        <v>16</v>
      </c>
      <c r="BX11" s="503">
        <f t="shared" si="8"/>
        <v>16</v>
      </c>
      <c r="BY11" s="503">
        <f t="shared" si="8"/>
        <v>16</v>
      </c>
      <c r="BZ11" s="503">
        <f t="shared" si="8"/>
        <v>16</v>
      </c>
      <c r="CA11" s="503">
        <f t="shared" si="8"/>
        <v>16</v>
      </c>
      <c r="CB11" s="503">
        <f t="shared" si="8"/>
        <v>16</v>
      </c>
      <c r="CC11" s="503">
        <f t="shared" si="8"/>
        <v>16</v>
      </c>
      <c r="CD11" s="503">
        <f t="shared" si="8"/>
        <v>16</v>
      </c>
      <c r="CE11" s="503">
        <f t="shared" si="8"/>
        <v>16</v>
      </c>
      <c r="CF11" s="503">
        <f t="shared" si="8"/>
        <v>16</v>
      </c>
      <c r="CG11" s="503">
        <f t="shared" si="8"/>
        <v>16</v>
      </c>
      <c r="CH11" s="503">
        <f t="shared" si="8"/>
        <v>16</v>
      </c>
      <c r="CI11" s="503">
        <f t="shared" si="8"/>
        <v>16</v>
      </c>
      <c r="CJ11" s="503">
        <f t="shared" si="8"/>
        <v>16</v>
      </c>
      <c r="CK11" s="503">
        <f t="shared" si="8"/>
        <v>16</v>
      </c>
      <c r="CL11" s="503">
        <f t="shared" si="8"/>
        <v>16</v>
      </c>
      <c r="CM11" s="503">
        <f t="shared" si="8"/>
        <v>16</v>
      </c>
      <c r="CN11" s="503">
        <f t="shared" si="8"/>
        <v>16</v>
      </c>
      <c r="CO11" s="503">
        <f t="shared" si="8"/>
        <v>16</v>
      </c>
      <c r="CP11" s="503">
        <f t="shared" si="8"/>
        <v>16</v>
      </c>
      <c r="CQ11" s="503">
        <f t="shared" si="8"/>
        <v>16</v>
      </c>
      <c r="CR11" s="503">
        <f t="shared" si="8"/>
        <v>16</v>
      </c>
      <c r="CS11" s="503">
        <f t="shared" si="8"/>
        <v>16</v>
      </c>
      <c r="CT11" s="503">
        <f t="shared" si="8"/>
        <v>16</v>
      </c>
      <c r="CU11" s="503">
        <f t="shared" si="8"/>
        <v>16</v>
      </c>
      <c r="CV11" s="503">
        <f t="shared" si="8"/>
        <v>16</v>
      </c>
      <c r="CW11" s="503">
        <f t="shared" si="8"/>
        <v>16</v>
      </c>
      <c r="CX11" s="503">
        <f t="shared" si="8"/>
        <v>16</v>
      </c>
      <c r="CY11" s="503">
        <f t="shared" si="8"/>
        <v>16</v>
      </c>
      <c r="CZ11" s="503">
        <f t="shared" si="8"/>
        <v>16</v>
      </c>
      <c r="DA11" s="503">
        <f t="shared" si="8"/>
        <v>16</v>
      </c>
      <c r="DB11" s="503">
        <f t="shared" si="8"/>
        <v>16</v>
      </c>
      <c r="DC11" s="503">
        <f t="shared" si="8"/>
        <v>16</v>
      </c>
      <c r="DD11" s="503">
        <f t="shared" si="8"/>
        <v>16</v>
      </c>
      <c r="DE11" s="503">
        <f t="shared" si="8"/>
        <v>16</v>
      </c>
      <c r="DF11" s="503">
        <f t="shared" si="8"/>
        <v>16</v>
      </c>
      <c r="DG11" s="503">
        <f t="shared" si="8"/>
        <v>16</v>
      </c>
      <c r="DH11" s="503">
        <f t="shared" si="8"/>
        <v>16</v>
      </c>
      <c r="DI11" s="503">
        <f t="shared" si="8"/>
        <v>16</v>
      </c>
      <c r="DJ11" s="503">
        <f t="shared" si="8"/>
        <v>16</v>
      </c>
      <c r="DK11" s="503">
        <f t="shared" si="8"/>
        <v>16</v>
      </c>
      <c r="DL11" s="503">
        <f t="shared" si="8"/>
        <v>16</v>
      </c>
      <c r="DM11" s="503">
        <f t="shared" si="8"/>
        <v>16</v>
      </c>
      <c r="DN11" s="503">
        <f t="shared" si="8"/>
        <v>16</v>
      </c>
      <c r="DO11" s="503">
        <f t="shared" si="8"/>
        <v>16</v>
      </c>
      <c r="DP11" s="503">
        <f t="shared" si="8"/>
        <v>16</v>
      </c>
      <c r="DQ11" s="503">
        <f t="shared" si="8"/>
        <v>16</v>
      </c>
      <c r="DR11" s="503">
        <f t="shared" si="8"/>
        <v>16</v>
      </c>
      <c r="DS11" s="503">
        <f t="shared" si="8"/>
        <v>16</v>
      </c>
      <c r="DT11" s="503">
        <f t="shared" si="8"/>
        <v>16</v>
      </c>
      <c r="DU11" s="503">
        <f t="shared" si="8"/>
        <v>16</v>
      </c>
      <c r="DV11" s="503">
        <f t="shared" si="8"/>
        <v>16</v>
      </c>
      <c r="DW11" s="503">
        <f t="shared" si="8"/>
        <v>16</v>
      </c>
      <c r="DX11" s="503">
        <f t="shared" si="8"/>
        <v>16</v>
      </c>
      <c r="DY11" s="503">
        <f t="shared" si="8"/>
        <v>16</v>
      </c>
      <c r="DZ11" s="503">
        <f t="shared" si="8"/>
        <v>16</v>
      </c>
      <c r="EA11" s="503">
        <f t="shared" si="8"/>
        <v>16</v>
      </c>
      <c r="EB11" s="503">
        <f t="shared" si="8"/>
        <v>16</v>
      </c>
      <c r="EC11" s="503">
        <f t="shared" si="8"/>
        <v>16</v>
      </c>
      <c r="ED11" s="503">
        <f t="shared" si="8"/>
        <v>16</v>
      </c>
      <c r="EE11" s="503">
        <f t="shared" si="8"/>
        <v>16</v>
      </c>
      <c r="EF11" s="503">
        <f t="shared" si="8"/>
        <v>16</v>
      </c>
      <c r="EG11" s="503">
        <f t="shared" si="8"/>
        <v>16</v>
      </c>
      <c r="EH11" s="503">
        <f t="shared" ref="EH11:FR11" si="9">EH9/EH10</f>
        <v>16</v>
      </c>
      <c r="EI11" s="503">
        <f t="shared" si="9"/>
        <v>16</v>
      </c>
      <c r="EJ11" s="503">
        <f t="shared" si="9"/>
        <v>16</v>
      </c>
      <c r="EK11" s="503">
        <f t="shared" si="9"/>
        <v>16</v>
      </c>
      <c r="EL11" s="503">
        <f t="shared" si="9"/>
        <v>16</v>
      </c>
      <c r="EM11" s="503">
        <f t="shared" si="9"/>
        <v>16</v>
      </c>
      <c r="EN11" s="503">
        <f t="shared" si="9"/>
        <v>16</v>
      </c>
      <c r="EO11" s="503">
        <f t="shared" si="9"/>
        <v>16</v>
      </c>
      <c r="EP11" s="503">
        <f t="shared" si="9"/>
        <v>16</v>
      </c>
      <c r="EQ11" s="503">
        <f t="shared" si="9"/>
        <v>16</v>
      </c>
      <c r="ER11" s="503">
        <f t="shared" si="9"/>
        <v>16</v>
      </c>
      <c r="ES11" s="503">
        <f t="shared" si="9"/>
        <v>16</v>
      </c>
      <c r="ET11" s="503">
        <f t="shared" si="9"/>
        <v>16</v>
      </c>
      <c r="EU11" s="503">
        <f t="shared" si="9"/>
        <v>16</v>
      </c>
      <c r="EV11" s="503">
        <f t="shared" si="9"/>
        <v>16</v>
      </c>
      <c r="EW11" s="503">
        <f t="shared" si="9"/>
        <v>16</v>
      </c>
      <c r="EX11" s="503">
        <f t="shared" si="9"/>
        <v>16</v>
      </c>
      <c r="EY11" s="503">
        <f t="shared" si="9"/>
        <v>16</v>
      </c>
      <c r="EZ11" s="503">
        <f t="shared" si="9"/>
        <v>16</v>
      </c>
      <c r="FA11" s="503">
        <f t="shared" si="9"/>
        <v>16</v>
      </c>
      <c r="FB11" s="503">
        <f t="shared" si="9"/>
        <v>16</v>
      </c>
      <c r="FC11" s="503">
        <f t="shared" si="9"/>
        <v>16</v>
      </c>
      <c r="FD11" s="503">
        <f t="shared" si="9"/>
        <v>16</v>
      </c>
      <c r="FE11" s="503">
        <f t="shared" si="9"/>
        <v>16</v>
      </c>
      <c r="FF11" s="503">
        <f t="shared" si="9"/>
        <v>16</v>
      </c>
      <c r="FG11" s="503">
        <f t="shared" si="9"/>
        <v>16</v>
      </c>
      <c r="FH11" s="503">
        <f t="shared" si="9"/>
        <v>16</v>
      </c>
      <c r="FI11" s="503">
        <f t="shared" si="9"/>
        <v>16</v>
      </c>
      <c r="FJ11" s="503">
        <f t="shared" si="9"/>
        <v>16</v>
      </c>
      <c r="FK11" s="503">
        <f t="shared" si="9"/>
        <v>16</v>
      </c>
      <c r="FL11" s="503">
        <f t="shared" si="9"/>
        <v>16</v>
      </c>
      <c r="FM11" s="503">
        <f t="shared" si="9"/>
        <v>16</v>
      </c>
      <c r="FN11" s="503">
        <f t="shared" si="9"/>
        <v>16</v>
      </c>
      <c r="FO11" s="503">
        <f t="shared" si="9"/>
        <v>16</v>
      </c>
      <c r="FP11" s="503">
        <f t="shared" si="9"/>
        <v>16</v>
      </c>
      <c r="FQ11" s="503">
        <f t="shared" si="9"/>
        <v>16</v>
      </c>
      <c r="FR11" s="503">
        <f t="shared" si="9"/>
        <v>16</v>
      </c>
      <c r="FT11" s="504" t="s">
        <v>224</v>
      </c>
      <c r="FU11" s="452" t="s">
        <v>240</v>
      </c>
    </row>
    <row r="12" spans="2:177" s="452" customFormat="1" ht="21" customHeight="1" thickBot="1">
      <c r="B12" s="496" t="s">
        <v>155</v>
      </c>
      <c r="C12" s="190">
        <v>8</v>
      </c>
      <c r="D12" s="349">
        <v>0.51200000000000001</v>
      </c>
      <c r="E12" s="351">
        <f t="shared" si="3"/>
        <v>64000</v>
      </c>
      <c r="H12" s="452" t="s">
        <v>241</v>
      </c>
      <c r="I12" s="505">
        <f t="shared" ref="I12:BT12" si="10">I9/I8</f>
        <v>-40</v>
      </c>
      <c r="J12" s="505">
        <f t="shared" si="10"/>
        <v>-45.128205128205131</v>
      </c>
      <c r="K12" s="505">
        <f t="shared" si="10"/>
        <v>-50.526315789473685</v>
      </c>
      <c r="L12" s="505">
        <f t="shared" si="10"/>
        <v>-56.216216216216218</v>
      </c>
      <c r="M12" s="505">
        <f t="shared" si="10"/>
        <v>-62.222222222222221</v>
      </c>
      <c r="N12" s="505">
        <f t="shared" si="10"/>
        <v>-68.571428571428569</v>
      </c>
      <c r="O12" s="505">
        <f t="shared" si="10"/>
        <v>-75.294117647058826</v>
      </c>
      <c r="P12" s="505">
        <f t="shared" si="10"/>
        <v>-82.424242424242422</v>
      </c>
      <c r="Q12" s="505">
        <f t="shared" si="10"/>
        <v>-90</v>
      </c>
      <c r="R12" s="505">
        <f t="shared" si="10"/>
        <v>-98.064516129032256</v>
      </c>
      <c r="S12" s="505">
        <f t="shared" si="10"/>
        <v>-106.66666666666667</v>
      </c>
      <c r="T12" s="505">
        <f t="shared" si="10"/>
        <v>-115.86206896551724</v>
      </c>
      <c r="U12" s="505">
        <f t="shared" si="10"/>
        <v>-125.71428571428571</v>
      </c>
      <c r="V12" s="505">
        <f t="shared" si="10"/>
        <v>-136.2962962962963</v>
      </c>
      <c r="W12" s="505">
        <f t="shared" si="10"/>
        <v>-147.69230769230768</v>
      </c>
      <c r="X12" s="505">
        <f t="shared" si="10"/>
        <v>-160</v>
      </c>
      <c r="Y12" s="505">
        <f t="shared" si="10"/>
        <v>-173.33333333333334</v>
      </c>
      <c r="Z12" s="505">
        <f t="shared" si="10"/>
        <v>-187.82608695652175</v>
      </c>
      <c r="AA12" s="505">
        <f t="shared" si="10"/>
        <v>-203.63636363636363</v>
      </c>
      <c r="AB12" s="505">
        <f t="shared" si="10"/>
        <v>-220.95238095238096</v>
      </c>
      <c r="AC12" s="505">
        <f t="shared" si="10"/>
        <v>-240</v>
      </c>
      <c r="AD12" s="505">
        <f t="shared" si="10"/>
        <v>-261.05263157894734</v>
      </c>
      <c r="AE12" s="505">
        <f t="shared" si="10"/>
        <v>-284.44444444444446</v>
      </c>
      <c r="AF12" s="505">
        <f t="shared" si="10"/>
        <v>-310.58823529411762</v>
      </c>
      <c r="AG12" s="505">
        <f t="shared" si="10"/>
        <v>-340</v>
      </c>
      <c r="AH12" s="505">
        <f t="shared" si="10"/>
        <v>-373.33333333333331</v>
      </c>
      <c r="AI12" s="505">
        <f t="shared" si="10"/>
        <v>-411.42857142857144</v>
      </c>
      <c r="AJ12" s="505">
        <f t="shared" si="10"/>
        <v>-455.38461538461536</v>
      </c>
      <c r="AK12" s="505">
        <f t="shared" si="10"/>
        <v>-506.66666666666669</v>
      </c>
      <c r="AL12" s="505">
        <f t="shared" si="10"/>
        <v>-567.27272727272725</v>
      </c>
      <c r="AM12" s="505">
        <f t="shared" si="10"/>
        <v>-640</v>
      </c>
      <c r="AN12" s="505">
        <f t="shared" si="10"/>
        <v>-728.88888888888891</v>
      </c>
      <c r="AO12" s="505">
        <f t="shared" si="10"/>
        <v>-840</v>
      </c>
      <c r="AP12" s="505">
        <f t="shared" si="10"/>
        <v>-982.85714285714289</v>
      </c>
      <c r="AQ12" s="505">
        <f t="shared" si="10"/>
        <v>-1173.3333333333333</v>
      </c>
      <c r="AR12" s="505">
        <f t="shared" si="10"/>
        <v>-1440</v>
      </c>
      <c r="AS12" s="505">
        <f t="shared" si="10"/>
        <v>-1840</v>
      </c>
      <c r="AT12" s="505">
        <f t="shared" si="10"/>
        <v>-2506.6666666666665</v>
      </c>
      <c r="AU12" s="505">
        <f t="shared" si="10"/>
        <v>-3840</v>
      </c>
      <c r="AV12" s="505">
        <f t="shared" si="10"/>
        <v>-7840</v>
      </c>
      <c r="AW12" s="505" t="e">
        <f t="shared" si="10"/>
        <v>#DIV/0!</v>
      </c>
      <c r="AX12" s="505">
        <f t="shared" si="10"/>
        <v>8160</v>
      </c>
      <c r="AY12" s="505">
        <f t="shared" si="10"/>
        <v>4160</v>
      </c>
      <c r="AZ12" s="505">
        <f t="shared" si="10"/>
        <v>2826.6666666666665</v>
      </c>
      <c r="BA12" s="505">
        <f t="shared" si="10"/>
        <v>2160</v>
      </c>
      <c r="BB12" s="505">
        <f t="shared" si="10"/>
        <v>1760</v>
      </c>
      <c r="BC12" s="505">
        <f t="shared" si="10"/>
        <v>1493.3333333333333</v>
      </c>
      <c r="BD12" s="505">
        <f t="shared" si="10"/>
        <v>1302.8571428571429</v>
      </c>
      <c r="BE12" s="505">
        <f t="shared" si="10"/>
        <v>1160</v>
      </c>
      <c r="BF12" s="505">
        <f t="shared" si="10"/>
        <v>1048.8888888888889</v>
      </c>
      <c r="BG12" s="505">
        <f t="shared" si="10"/>
        <v>960</v>
      </c>
      <c r="BH12" s="505">
        <f t="shared" si="10"/>
        <v>887.27272727272725</v>
      </c>
      <c r="BI12" s="505">
        <f t="shared" si="10"/>
        <v>826.66666666666663</v>
      </c>
      <c r="BJ12" s="505">
        <f t="shared" si="10"/>
        <v>775.38461538461536</v>
      </c>
      <c r="BK12" s="505">
        <f t="shared" si="10"/>
        <v>731.42857142857144</v>
      </c>
      <c r="BL12" s="505">
        <f t="shared" si="10"/>
        <v>693.33333333333337</v>
      </c>
      <c r="BM12" s="505">
        <f t="shared" si="10"/>
        <v>660</v>
      </c>
      <c r="BN12" s="505">
        <f t="shared" si="10"/>
        <v>630.58823529411768</v>
      </c>
      <c r="BO12" s="505">
        <f t="shared" si="10"/>
        <v>604.44444444444446</v>
      </c>
      <c r="BP12" s="505">
        <f t="shared" si="10"/>
        <v>581.0526315789474</v>
      </c>
      <c r="BQ12" s="505">
        <f t="shared" si="10"/>
        <v>560</v>
      </c>
      <c r="BR12" s="505">
        <f t="shared" si="10"/>
        <v>540.95238095238096</v>
      </c>
      <c r="BS12" s="505">
        <f t="shared" si="10"/>
        <v>523.63636363636363</v>
      </c>
      <c r="BT12" s="505">
        <f t="shared" si="10"/>
        <v>507.82608695652175</v>
      </c>
      <c r="BU12" s="505">
        <f t="shared" ref="BU12:EF12" si="11">BU9/BU8</f>
        <v>493.33333333333331</v>
      </c>
      <c r="BV12" s="505">
        <f t="shared" si="11"/>
        <v>480</v>
      </c>
      <c r="BW12" s="505">
        <f t="shared" si="11"/>
        <v>467.69230769230768</v>
      </c>
      <c r="BX12" s="505">
        <f t="shared" si="11"/>
        <v>456.2962962962963</v>
      </c>
      <c r="BY12" s="505">
        <f t="shared" si="11"/>
        <v>445.71428571428572</v>
      </c>
      <c r="BZ12" s="505">
        <f t="shared" si="11"/>
        <v>435.86206896551727</v>
      </c>
      <c r="CA12" s="505">
        <f t="shared" si="11"/>
        <v>426.66666666666669</v>
      </c>
      <c r="CB12" s="505">
        <f t="shared" si="11"/>
        <v>418.06451612903226</v>
      </c>
      <c r="CC12" s="505">
        <f t="shared" si="11"/>
        <v>410</v>
      </c>
      <c r="CD12" s="505">
        <f t="shared" si="11"/>
        <v>402.42424242424244</v>
      </c>
      <c r="CE12" s="505">
        <f t="shared" si="11"/>
        <v>395.29411764705884</v>
      </c>
      <c r="CF12" s="505">
        <f t="shared" si="11"/>
        <v>388.57142857142856</v>
      </c>
      <c r="CG12" s="505">
        <f t="shared" si="11"/>
        <v>382.22222222222223</v>
      </c>
      <c r="CH12" s="505">
        <f t="shared" si="11"/>
        <v>376.2162162162162</v>
      </c>
      <c r="CI12" s="505">
        <f t="shared" si="11"/>
        <v>370.5263157894737</v>
      </c>
      <c r="CJ12" s="505">
        <f t="shared" si="11"/>
        <v>365.12820512820514</v>
      </c>
      <c r="CK12" s="505">
        <f t="shared" si="11"/>
        <v>360</v>
      </c>
      <c r="CL12" s="505">
        <f t="shared" si="11"/>
        <v>355.1219512195122</v>
      </c>
      <c r="CM12" s="505">
        <f t="shared" si="11"/>
        <v>350.47619047619048</v>
      </c>
      <c r="CN12" s="505">
        <f t="shared" si="11"/>
        <v>346.04651162790697</v>
      </c>
      <c r="CO12" s="505">
        <f t="shared" si="11"/>
        <v>341.81818181818181</v>
      </c>
      <c r="CP12" s="505">
        <f t="shared" si="11"/>
        <v>337.77777777777777</v>
      </c>
      <c r="CQ12" s="505">
        <f t="shared" si="11"/>
        <v>333.91304347826087</v>
      </c>
      <c r="CR12" s="505">
        <f t="shared" si="11"/>
        <v>330.21276595744683</v>
      </c>
      <c r="CS12" s="505">
        <f t="shared" si="11"/>
        <v>326.66666666666669</v>
      </c>
      <c r="CT12" s="505">
        <f t="shared" si="11"/>
        <v>323.26530612244898</v>
      </c>
      <c r="CU12" s="505">
        <f t="shared" si="11"/>
        <v>320</v>
      </c>
      <c r="CV12" s="505">
        <f t="shared" si="11"/>
        <v>316.86274509803923</v>
      </c>
      <c r="CW12" s="505">
        <f t="shared" si="11"/>
        <v>313.84615384615387</v>
      </c>
      <c r="CX12" s="505">
        <f t="shared" si="11"/>
        <v>310.94339622641508</v>
      </c>
      <c r="CY12" s="505">
        <f t="shared" si="11"/>
        <v>308.14814814814815</v>
      </c>
      <c r="CZ12" s="505">
        <f t="shared" si="11"/>
        <v>305.45454545454544</v>
      </c>
      <c r="DA12" s="505">
        <f t="shared" si="11"/>
        <v>302.85714285714283</v>
      </c>
      <c r="DB12" s="505">
        <f t="shared" si="11"/>
        <v>300.35087719298247</v>
      </c>
      <c r="DC12" s="505">
        <f t="shared" si="11"/>
        <v>297.93103448275861</v>
      </c>
      <c r="DD12" s="505">
        <f t="shared" si="11"/>
        <v>295.59322033898303</v>
      </c>
      <c r="DE12" s="505">
        <f t="shared" si="11"/>
        <v>293.33333333333331</v>
      </c>
      <c r="DF12" s="505">
        <f t="shared" si="11"/>
        <v>291.14754098360658</v>
      </c>
      <c r="DG12" s="505">
        <f t="shared" si="11"/>
        <v>289.03225806451616</v>
      </c>
      <c r="DH12" s="505">
        <f t="shared" si="11"/>
        <v>286.98412698412699</v>
      </c>
      <c r="DI12" s="505">
        <f t="shared" si="11"/>
        <v>285</v>
      </c>
      <c r="DJ12" s="505">
        <f t="shared" si="11"/>
        <v>283.07692307692309</v>
      </c>
      <c r="DK12" s="505">
        <f t="shared" si="11"/>
        <v>281.21212121212119</v>
      </c>
      <c r="DL12" s="505">
        <f t="shared" si="11"/>
        <v>279.40298507462688</v>
      </c>
      <c r="DM12" s="505">
        <f t="shared" si="11"/>
        <v>277.64705882352939</v>
      </c>
      <c r="DN12" s="505">
        <f t="shared" si="11"/>
        <v>275.94202898550725</v>
      </c>
      <c r="DO12" s="505">
        <f t="shared" si="11"/>
        <v>274.28571428571428</v>
      </c>
      <c r="DP12" s="505">
        <f t="shared" si="11"/>
        <v>272.67605633802816</v>
      </c>
      <c r="DQ12" s="505">
        <f t="shared" si="11"/>
        <v>271.11111111111109</v>
      </c>
      <c r="DR12" s="505">
        <f t="shared" si="11"/>
        <v>269.58904109589042</v>
      </c>
      <c r="DS12" s="505">
        <f t="shared" si="11"/>
        <v>268.10810810810813</v>
      </c>
      <c r="DT12" s="505">
        <f t="shared" si="11"/>
        <v>266.66666666666669</v>
      </c>
      <c r="DU12" s="505">
        <f t="shared" si="11"/>
        <v>265.26315789473682</v>
      </c>
      <c r="DV12" s="505">
        <f t="shared" si="11"/>
        <v>263.89610389610391</v>
      </c>
      <c r="DW12" s="505">
        <f t="shared" si="11"/>
        <v>262.56410256410254</v>
      </c>
      <c r="DX12" s="505">
        <f t="shared" si="11"/>
        <v>261.26582278481015</v>
      </c>
      <c r="DY12" s="505">
        <f t="shared" si="11"/>
        <v>260</v>
      </c>
      <c r="DZ12" s="505">
        <f t="shared" si="11"/>
        <v>258.76543209876542</v>
      </c>
      <c r="EA12" s="505">
        <f t="shared" si="11"/>
        <v>257.5609756097561</v>
      </c>
      <c r="EB12" s="505">
        <f t="shared" si="11"/>
        <v>256.3855421686747</v>
      </c>
      <c r="EC12" s="505">
        <f t="shared" si="11"/>
        <v>255.23809523809524</v>
      </c>
      <c r="ED12" s="505">
        <f t="shared" si="11"/>
        <v>254.11764705882354</v>
      </c>
      <c r="EE12" s="505">
        <f t="shared" si="11"/>
        <v>253.02325581395348</v>
      </c>
      <c r="EF12" s="505">
        <f t="shared" si="11"/>
        <v>251.95402298850576</v>
      </c>
      <c r="EG12" s="505">
        <f t="shared" ref="EG12:FQ12" si="12">EG9/EG8</f>
        <v>250.90909090909091</v>
      </c>
      <c r="EH12" s="505">
        <f t="shared" si="12"/>
        <v>249.88764044943821</v>
      </c>
      <c r="EI12" s="505">
        <f t="shared" si="12"/>
        <v>248.88888888888889</v>
      </c>
      <c r="EJ12" s="505">
        <f t="shared" si="12"/>
        <v>247.91208791208791</v>
      </c>
      <c r="EK12" s="505">
        <f t="shared" si="12"/>
        <v>246.95652173913044</v>
      </c>
      <c r="EL12" s="505">
        <f t="shared" si="12"/>
        <v>246.02150537634409</v>
      </c>
      <c r="EM12" s="505">
        <f t="shared" si="12"/>
        <v>245.10638297872342</v>
      </c>
      <c r="EN12" s="505">
        <f t="shared" si="12"/>
        <v>244.21052631578948</v>
      </c>
      <c r="EO12" s="505">
        <f t="shared" si="12"/>
        <v>243.33333333333334</v>
      </c>
      <c r="EP12" s="505">
        <f t="shared" si="12"/>
        <v>242.4742268041237</v>
      </c>
      <c r="EQ12" s="505">
        <f t="shared" si="12"/>
        <v>241.63265306122449</v>
      </c>
      <c r="ER12" s="505">
        <f t="shared" si="12"/>
        <v>240.8080808080808</v>
      </c>
      <c r="ES12" s="505">
        <f t="shared" si="12"/>
        <v>240</v>
      </c>
      <c r="ET12" s="505">
        <f t="shared" si="12"/>
        <v>239.20792079207922</v>
      </c>
      <c r="EU12" s="505">
        <f t="shared" si="12"/>
        <v>238.43137254901961</v>
      </c>
      <c r="EV12" s="505">
        <f t="shared" si="12"/>
        <v>237.66990291262135</v>
      </c>
      <c r="EW12" s="505">
        <f t="shared" si="12"/>
        <v>236.92307692307693</v>
      </c>
      <c r="EX12" s="505">
        <f t="shared" si="12"/>
        <v>236.1904761904762</v>
      </c>
      <c r="EY12" s="505">
        <f t="shared" si="12"/>
        <v>235.47169811320754</v>
      </c>
      <c r="EZ12" s="505">
        <f t="shared" si="12"/>
        <v>234.7663551401869</v>
      </c>
      <c r="FA12" s="505">
        <f t="shared" si="12"/>
        <v>234.07407407407408</v>
      </c>
      <c r="FB12" s="505">
        <f t="shared" si="12"/>
        <v>233.39449541284404</v>
      </c>
      <c r="FC12" s="505">
        <f t="shared" si="12"/>
        <v>232.72727272727272</v>
      </c>
      <c r="FD12" s="505">
        <f t="shared" si="12"/>
        <v>232.07207207207207</v>
      </c>
      <c r="FE12" s="505">
        <f t="shared" si="12"/>
        <v>231.42857142857142</v>
      </c>
      <c r="FF12" s="505">
        <f t="shared" si="12"/>
        <v>230.79646017699116</v>
      </c>
      <c r="FG12" s="505">
        <f t="shared" si="12"/>
        <v>230.17543859649123</v>
      </c>
      <c r="FH12" s="505">
        <f t="shared" si="12"/>
        <v>229.56521739130434</v>
      </c>
      <c r="FI12" s="505">
        <f t="shared" si="12"/>
        <v>228.9655172413793</v>
      </c>
      <c r="FJ12" s="505">
        <f t="shared" si="12"/>
        <v>228.37606837606839</v>
      </c>
      <c r="FK12" s="505">
        <f t="shared" si="12"/>
        <v>227.79661016949152</v>
      </c>
      <c r="FL12" s="505">
        <f t="shared" si="12"/>
        <v>227.22689075630251</v>
      </c>
      <c r="FM12" s="505">
        <f t="shared" si="12"/>
        <v>226.66666666666666</v>
      </c>
      <c r="FN12" s="505">
        <f t="shared" si="12"/>
        <v>226.11570247933884</v>
      </c>
      <c r="FO12" s="505">
        <f t="shared" si="12"/>
        <v>225.57377049180329</v>
      </c>
      <c r="FP12" s="505">
        <f t="shared" si="12"/>
        <v>225.04065040650406</v>
      </c>
      <c r="FQ12" s="505">
        <f t="shared" si="12"/>
        <v>224.51612903225808</v>
      </c>
      <c r="FR12" s="505">
        <f>FR9/FR8</f>
        <v>224</v>
      </c>
      <c r="FT12" s="504" t="s">
        <v>224</v>
      </c>
      <c r="FU12" s="452" t="s">
        <v>241</v>
      </c>
    </row>
    <row r="13" spans="2:177" s="452" customFormat="1" ht="21" customHeight="1" thickTop="1" thickBot="1">
      <c r="B13" s="497" t="s">
        <v>150</v>
      </c>
      <c r="C13" s="194">
        <v>16</v>
      </c>
      <c r="D13" s="352">
        <v>0.25600000000000001</v>
      </c>
      <c r="E13" s="193">
        <f t="shared" si="3"/>
        <v>128000</v>
      </c>
      <c r="H13" s="506" t="s">
        <v>211</v>
      </c>
      <c r="I13" s="507">
        <f>FR10</f>
        <v>1750</v>
      </c>
      <c r="J13" s="508" t="s">
        <v>145</v>
      </c>
      <c r="BW13" s="452">
        <f>(BW9*0.0063)-50</f>
        <v>26.608000000000004</v>
      </c>
      <c r="FT13" s="504"/>
    </row>
    <row r="14" spans="2:177" ht="44.25" customHeight="1">
      <c r="Q14" s="160"/>
    </row>
    <row r="15" spans="2:177" ht="15">
      <c r="H15" s="357" t="s">
        <v>218</v>
      </c>
    </row>
    <row r="16" spans="2:177" ht="15">
      <c r="H16" s="357"/>
    </row>
    <row r="19" spans="1:17" ht="27">
      <c r="B19" s="126" t="s">
        <v>119</v>
      </c>
      <c r="C19" s="125">
        <v>63</v>
      </c>
      <c r="D19" s="116" t="s">
        <v>167</v>
      </c>
      <c r="E19" s="325" t="str">
        <f>DEC2BIN(C19,8)</f>
        <v>00111111</v>
      </c>
      <c r="F19" s="102">
        <f>BIN2DEC(E19)</f>
        <v>63</v>
      </c>
      <c r="G19" s="117">
        <f>F19*256</f>
        <v>16128</v>
      </c>
    </row>
    <row r="20" spans="1:17" ht="28.5">
      <c r="B20" s="126" t="s">
        <v>118</v>
      </c>
      <c r="C20" s="125">
        <v>200</v>
      </c>
      <c r="D20" s="116" t="s">
        <v>167</v>
      </c>
      <c r="E20" s="325" t="str">
        <f>DEC2BIN(C20,8)</f>
        <v>11001000</v>
      </c>
      <c r="F20" s="363"/>
      <c r="G20" s="117">
        <f>BIN2DEC(E20)</f>
        <v>200</v>
      </c>
      <c r="H20" s="808">
        <f>G19+G20</f>
        <v>16328</v>
      </c>
      <c r="I20" s="809"/>
      <c r="J20" s="228" t="s">
        <v>222</v>
      </c>
      <c r="K20" s="420" t="s">
        <v>220</v>
      </c>
    </row>
    <row r="21" spans="1:17" ht="27">
      <c r="B21" s="126"/>
      <c r="C21" s="358"/>
      <c r="D21" s="116"/>
      <c r="E21" s="325"/>
      <c r="F21" s="363"/>
      <c r="G21" s="117"/>
      <c r="H21" s="226"/>
      <c r="I21" s="227"/>
      <c r="J21" s="228"/>
      <c r="K21" s="106"/>
      <c r="L21" s="359"/>
      <c r="M21" s="360"/>
      <c r="O21" s="455" t="s">
        <v>300</v>
      </c>
    </row>
    <row r="22" spans="1:17" ht="27">
      <c r="B22" s="126"/>
      <c r="C22" s="358"/>
      <c r="D22" s="116"/>
      <c r="E22" s="321" t="str">
        <f>IF(H24&gt;I13,"Le TMP36 ne délivre que 1750mV MAX !","")</f>
        <v/>
      </c>
      <c r="F22" s="363"/>
      <c r="G22" s="117"/>
      <c r="H22" s="801" t="s">
        <v>254</v>
      </c>
      <c r="I22" s="802"/>
      <c r="J22" s="802"/>
      <c r="K22" s="106"/>
      <c r="L22" s="359"/>
      <c r="M22" s="360"/>
      <c r="O22" s="456" t="s">
        <v>295</v>
      </c>
    </row>
    <row r="23" spans="1:17" ht="18">
      <c r="K23" s="106"/>
      <c r="L23" s="359"/>
      <c r="M23" s="360"/>
      <c r="O23" s="456" t="s">
        <v>378</v>
      </c>
    </row>
    <row r="24" spans="1:17" ht="26.25">
      <c r="E24" s="362" t="str">
        <f>IF(H24&gt;L7,"Tension supérieure à Full Scale !","")</f>
        <v/>
      </c>
      <c r="F24" s="363"/>
      <c r="G24" s="363" t="str">
        <f>CONCATENATE("/ ",ROUND(J11,3))</f>
        <v>/ 16</v>
      </c>
      <c r="H24" s="810">
        <f>H20/J11</f>
        <v>1020.5</v>
      </c>
      <c r="I24" s="811"/>
      <c r="J24" s="364" t="s">
        <v>145</v>
      </c>
      <c r="K24" s="232" t="s">
        <v>228</v>
      </c>
      <c r="L24" s="370">
        <f>I11</f>
        <v>16</v>
      </c>
      <c r="M24" s="360"/>
      <c r="O24" s="456" t="s">
        <v>296</v>
      </c>
    </row>
    <row r="25" spans="1:17" ht="18.75">
      <c r="E25" s="365"/>
      <c r="F25" s="366"/>
      <c r="G25" s="378"/>
      <c r="H25" s="367"/>
      <c r="I25" s="368"/>
      <c r="J25" s="369"/>
      <c r="K25" s="232"/>
      <c r="L25" s="370"/>
      <c r="M25" s="360"/>
      <c r="O25" s="456"/>
    </row>
    <row r="26" spans="1:17" ht="18.75">
      <c r="H26" s="815" t="s">
        <v>462</v>
      </c>
      <c r="I26" s="816"/>
      <c r="K26" s="232"/>
      <c r="L26" s="815" t="s">
        <v>463</v>
      </c>
      <c r="M26" s="816"/>
      <c r="O26" s="456" t="s">
        <v>297</v>
      </c>
    </row>
    <row r="27" spans="1:17" ht="27" thickBot="1">
      <c r="B27" s="105" t="s">
        <v>212</v>
      </c>
      <c r="C27" s="415">
        <f>H5</f>
        <v>2</v>
      </c>
      <c r="G27" s="326"/>
      <c r="H27" s="810">
        <f>(H24-500)/10</f>
        <v>52.05</v>
      </c>
      <c r="I27" s="811"/>
      <c r="J27" s="371" t="s">
        <v>182</v>
      </c>
      <c r="K27" s="372"/>
      <c r="L27" s="810">
        <f>(H20/160)-50</f>
        <v>52.05</v>
      </c>
      <c r="M27" s="811"/>
      <c r="O27" s="680" t="s">
        <v>461</v>
      </c>
    </row>
    <row r="28" spans="1:17" ht="17.25" thickTop="1" thickBot="1">
      <c r="A28" s="476">
        <v>-2</v>
      </c>
      <c r="B28" s="477">
        <v>-1</v>
      </c>
      <c r="C28" s="473">
        <v>0</v>
      </c>
      <c r="D28" s="472">
        <v>1</v>
      </c>
      <c r="E28" s="99" t="s">
        <v>182</v>
      </c>
      <c r="G28" s="326"/>
      <c r="K28" s="372"/>
      <c r="L28" s="373"/>
      <c r="M28" s="374"/>
      <c r="N28" s="679" t="s">
        <v>460</v>
      </c>
      <c r="O28" s="228" t="s">
        <v>298</v>
      </c>
    </row>
    <row r="29" spans="1:17" ht="27.75" thickTop="1" thickBot="1">
      <c r="A29" s="343">
        <f t="shared" ref="A29:B29" si="13">A30*$I$7/1000</f>
        <v>7680</v>
      </c>
      <c r="B29" s="478">
        <f t="shared" si="13"/>
        <v>7840</v>
      </c>
      <c r="C29" s="474">
        <f>C30*$I$7/1000</f>
        <v>8000</v>
      </c>
      <c r="D29" s="482">
        <f>D30*$I$7/1000</f>
        <v>8160</v>
      </c>
      <c r="E29" s="99" t="s">
        <v>220</v>
      </c>
      <c r="G29" s="326"/>
      <c r="H29" s="803" t="s">
        <v>335</v>
      </c>
      <c r="I29" s="804"/>
      <c r="J29" s="804"/>
      <c r="K29" s="372"/>
      <c r="L29" s="373"/>
      <c r="M29" s="374"/>
      <c r="O29" s="456" t="s">
        <v>379</v>
      </c>
    </row>
    <row r="30" spans="1:17" ht="27.75" thickTop="1" thickBot="1">
      <c r="A30" s="479">
        <v>480</v>
      </c>
      <c r="B30" s="480">
        <v>490</v>
      </c>
      <c r="C30" s="475">
        <v>500</v>
      </c>
      <c r="D30" s="481">
        <v>510</v>
      </c>
      <c r="E30" s="99" t="s">
        <v>145</v>
      </c>
      <c r="G30" s="326"/>
      <c r="H30" s="797">
        <f>K52</f>
        <v>1020</v>
      </c>
      <c r="I30" s="798"/>
      <c r="J30" s="375" t="s">
        <v>145</v>
      </c>
      <c r="K30" s="106" t="s">
        <v>371</v>
      </c>
      <c r="L30" s="359">
        <f>INT(L24)</f>
        <v>16</v>
      </c>
      <c r="M30" s="374"/>
      <c r="O30" s="814" t="s">
        <v>377</v>
      </c>
      <c r="P30" s="794"/>
      <c r="Q30" s="457">
        <f>(1000-500)/10</f>
        <v>50</v>
      </c>
    </row>
    <row r="31" spans="1:17" ht="21" hidden="1">
      <c r="C31" s="416">
        <f>INT((MOD(H24,1)))</f>
        <v>0</v>
      </c>
      <c r="E31" s="416">
        <f>INT((MOD(H24,1)*100))/100</f>
        <v>0.5</v>
      </c>
      <c r="G31" s="326"/>
      <c r="H31" s="799" t="str">
        <f>CONCATENATE("              ,",INT((MOD(H24,1)*100)))</f>
        <v xml:space="preserve">              ,50</v>
      </c>
      <c r="I31" s="800"/>
      <c r="J31" s="375"/>
      <c r="K31" s="106"/>
      <c r="L31" s="359"/>
      <c r="M31" s="374"/>
      <c r="O31" s="456" t="s">
        <v>299</v>
      </c>
    </row>
    <row r="32" spans="1:17" ht="15.75" thickTop="1">
      <c r="K32" s="372"/>
      <c r="L32" s="373"/>
    </row>
    <row r="33" spans="2:40" ht="26.25">
      <c r="G33" s="326"/>
      <c r="H33" s="791">
        <f>K50</f>
        <v>-458.2</v>
      </c>
      <c r="I33" s="792"/>
      <c r="J33" s="377" t="s">
        <v>182</v>
      </c>
      <c r="K33" s="106"/>
      <c r="L33" s="359"/>
      <c r="O33" s="458" t="s">
        <v>387</v>
      </c>
    </row>
    <row r="34" spans="2:40" ht="18.75" customHeight="1">
      <c r="O34" s="458" t="s">
        <v>301</v>
      </c>
    </row>
    <row r="35" spans="2:40" ht="15" thickBot="1"/>
    <row r="36" spans="2:40" ht="27" thickBot="1">
      <c r="B36" s="489" t="s">
        <v>149</v>
      </c>
      <c r="C36" s="490" t="s">
        <v>384</v>
      </c>
      <c r="D36" s="490" t="s">
        <v>386</v>
      </c>
      <c r="G36" s="786" t="s">
        <v>370</v>
      </c>
      <c r="H36" s="787"/>
      <c r="I36" s="787"/>
      <c r="J36" s="787"/>
      <c r="K36" s="787"/>
      <c r="O36" s="99" t="s">
        <v>302</v>
      </c>
    </row>
    <row r="37" spans="2:40" ht="36.75" customHeight="1">
      <c r="B37" s="487" t="s">
        <v>385</v>
      </c>
      <c r="C37" s="491">
        <v>2666.6666666666665</v>
      </c>
      <c r="D37" s="491">
        <f>C37/(2/3)</f>
        <v>4000</v>
      </c>
      <c r="G37" s="320"/>
      <c r="H37" s="408" t="s">
        <v>216</v>
      </c>
      <c r="I37" s="409">
        <f>H20</f>
        <v>16328</v>
      </c>
      <c r="J37" s="379"/>
      <c r="O37" s="99" t="s">
        <v>303</v>
      </c>
    </row>
    <row r="38" spans="2:40" ht="20.25">
      <c r="B38" s="487" t="s">
        <v>380</v>
      </c>
      <c r="C38" s="488">
        <v>4000</v>
      </c>
      <c r="D38" s="488">
        <f>C38/1</f>
        <v>4000</v>
      </c>
      <c r="H38" s="410" t="s">
        <v>212</v>
      </c>
      <c r="I38" s="411">
        <f>H5</f>
        <v>2</v>
      </c>
      <c r="J38" s="381" t="s">
        <v>336</v>
      </c>
      <c r="K38" s="407" t="s">
        <v>259</v>
      </c>
      <c r="O38" s="99" t="s">
        <v>388</v>
      </c>
    </row>
    <row r="39" spans="2:40" ht="21" thickBot="1">
      <c r="B39" s="483" t="s">
        <v>373</v>
      </c>
      <c r="C39" s="484">
        <v>8000</v>
      </c>
      <c r="D39" s="484">
        <f>C39/2</f>
        <v>4000</v>
      </c>
      <c r="H39" s="412" t="s">
        <v>360</v>
      </c>
      <c r="I39" s="413" t="str">
        <f>CONCATENATE(L7," mV")</f>
        <v>2048 mV</v>
      </c>
      <c r="J39" s="381"/>
      <c r="K39" s="407"/>
      <c r="O39" s="459"/>
      <c r="AA39" s="414" t="str">
        <f>CONCATENATE("PGA= ",$H$5)</f>
        <v>PGA= 2</v>
      </c>
      <c r="AM39" s="414" t="str">
        <f>CONCATENATE("PGA= ",$H$5)</f>
        <v>PGA= 2</v>
      </c>
    </row>
    <row r="40" spans="2:40" ht="20.25">
      <c r="B40" s="483" t="s">
        <v>381</v>
      </c>
      <c r="C40" s="484">
        <v>16000</v>
      </c>
      <c r="D40" s="484">
        <f>C40/4</f>
        <v>4000</v>
      </c>
      <c r="E40" s="102"/>
      <c r="I40" s="380"/>
      <c r="J40" s="382"/>
      <c r="K40" s="126"/>
      <c r="AD40" s="363" t="s">
        <v>347</v>
      </c>
      <c r="AE40" s="363"/>
    </row>
    <row r="41" spans="2:40" ht="18">
      <c r="B41" s="483" t="s">
        <v>382</v>
      </c>
      <c r="C41" s="484">
        <v>32000</v>
      </c>
      <c r="D41" s="484">
        <f>C41/8</f>
        <v>4000</v>
      </c>
      <c r="H41" s="383" t="s">
        <v>145</v>
      </c>
      <c r="I41" s="127" t="str">
        <f>CONCATENATE("ADC/",L24)</f>
        <v>ADC/16</v>
      </c>
      <c r="J41" s="384">
        <f>I37/L30</f>
        <v>1020.5</v>
      </c>
      <c r="K41" s="385">
        <f>INT(J41)</f>
        <v>1020</v>
      </c>
      <c r="L41" s="99" t="s">
        <v>145</v>
      </c>
      <c r="Z41" s="325" t="s">
        <v>348</v>
      </c>
      <c r="AL41" s="325" t="s">
        <v>348</v>
      </c>
    </row>
    <row r="42" spans="2:40" ht="18.75" thickBot="1">
      <c r="B42" s="485" t="s">
        <v>383</v>
      </c>
      <c r="C42" s="486">
        <v>64000</v>
      </c>
      <c r="D42" s="486">
        <f>C42/16</f>
        <v>4000</v>
      </c>
      <c r="F42" s="386"/>
      <c r="I42" s="127"/>
      <c r="J42" s="384"/>
      <c r="K42" s="387"/>
      <c r="Z42" s="404">
        <v>4.0960000000000001</v>
      </c>
      <c r="AA42" s="403" t="s">
        <v>337</v>
      </c>
      <c r="AB42" s="99" t="s">
        <v>361</v>
      </c>
      <c r="AD42" s="405" t="s">
        <v>367</v>
      </c>
      <c r="AH42" s="99">
        <f>1/160</f>
        <v>6.2500000000000003E-3</v>
      </c>
      <c r="AL42" s="404">
        <v>4.0960000000000001</v>
      </c>
      <c r="AM42" s="403" t="s">
        <v>337</v>
      </c>
      <c r="AN42" s="99" t="s">
        <v>343</v>
      </c>
    </row>
    <row r="43" spans="2:40" ht="18">
      <c r="F43" s="386"/>
      <c r="H43" s="383" t="s">
        <v>246</v>
      </c>
      <c r="I43" s="127" t="str">
        <f>CONCATENATE("ADC/ ",I12/10)</f>
        <v>ADC/ -4</v>
      </c>
      <c r="J43" s="384">
        <f>I37/(I12/10)</f>
        <v>-4082</v>
      </c>
      <c r="K43" s="419">
        <f t="shared" ref="K43:K48" si="14">INT(J43)</f>
        <v>-4082</v>
      </c>
      <c r="Z43" s="404">
        <v>2.048</v>
      </c>
      <c r="AA43" s="403" t="s">
        <v>338</v>
      </c>
      <c r="AB43" s="99" t="s">
        <v>362</v>
      </c>
      <c r="AD43" s="405" t="s">
        <v>366</v>
      </c>
      <c r="AE43" s="370" t="s">
        <v>359</v>
      </c>
      <c r="AG43" s="99">
        <f>1/16</f>
        <v>6.25E-2</v>
      </c>
      <c r="AL43" s="404">
        <v>2.048</v>
      </c>
      <c r="AM43" s="403" t="s">
        <v>338</v>
      </c>
      <c r="AN43" s="99" t="s">
        <v>342</v>
      </c>
    </row>
    <row r="44" spans="2:40" ht="18">
      <c r="F44" s="386"/>
      <c r="H44" s="383"/>
      <c r="I44" s="127" t="s">
        <v>369</v>
      </c>
      <c r="J44" s="384"/>
      <c r="K44" s="391">
        <f>K43-500</f>
        <v>-4582</v>
      </c>
      <c r="Z44" s="404">
        <v>1.024</v>
      </c>
      <c r="AA44" s="403" t="s">
        <v>339</v>
      </c>
      <c r="AB44" s="99" t="s">
        <v>363</v>
      </c>
      <c r="AD44" s="405" t="s">
        <v>354</v>
      </c>
      <c r="AE44" s="363"/>
      <c r="AG44" s="99">
        <f>1/32</f>
        <v>3.125E-2</v>
      </c>
      <c r="AL44" s="404">
        <v>1.024</v>
      </c>
      <c r="AM44" s="403" t="s">
        <v>339</v>
      </c>
      <c r="AN44" s="99" t="s">
        <v>344</v>
      </c>
    </row>
    <row r="45" spans="2:40" ht="18">
      <c r="H45" s="99" t="s">
        <v>248</v>
      </c>
      <c r="I45" s="99" t="s">
        <v>249</v>
      </c>
      <c r="J45" s="384">
        <f>K43/10</f>
        <v>-408.2</v>
      </c>
      <c r="K45" s="419">
        <f>INT(J45)</f>
        <v>-409</v>
      </c>
      <c r="Z45" s="404">
        <v>0.51200000000000001</v>
      </c>
      <c r="AA45" s="403" t="s">
        <v>340</v>
      </c>
      <c r="AB45" s="99" t="s">
        <v>364</v>
      </c>
      <c r="AD45" s="405" t="s">
        <v>355</v>
      </c>
      <c r="AE45" s="363"/>
      <c r="AG45" s="99">
        <f>1/64</f>
        <v>1.5625E-2</v>
      </c>
      <c r="AL45" s="404">
        <v>0.51200000000000001</v>
      </c>
      <c r="AM45" s="403" t="s">
        <v>340</v>
      </c>
      <c r="AN45" s="99" t="s">
        <v>346</v>
      </c>
    </row>
    <row r="46" spans="2:40" ht="18">
      <c r="I46" s="127" t="s">
        <v>368</v>
      </c>
      <c r="J46" s="384">
        <f>J45-50</f>
        <v>-458.2</v>
      </c>
      <c r="K46" s="385">
        <f>INT(K45-50)</f>
        <v>-459</v>
      </c>
      <c r="Z46" s="404">
        <v>0.25600000000000001</v>
      </c>
      <c r="AA46" s="403" t="s">
        <v>341</v>
      </c>
      <c r="AB46" s="99" t="s">
        <v>365</v>
      </c>
      <c r="AD46" s="405" t="s">
        <v>356</v>
      </c>
      <c r="AE46" s="363"/>
      <c r="AG46" s="99">
        <f>1/128</f>
        <v>7.8125E-3</v>
      </c>
      <c r="AL46" s="404">
        <v>0.25600000000000001</v>
      </c>
      <c r="AM46" s="403" t="s">
        <v>341</v>
      </c>
      <c r="AN46" s="99" t="s">
        <v>345</v>
      </c>
    </row>
    <row r="47" spans="2:40" ht="18">
      <c r="H47" s="99" t="s">
        <v>250</v>
      </c>
      <c r="J47" s="384">
        <f>K46*10</f>
        <v>-4590</v>
      </c>
      <c r="K47" s="391">
        <f t="shared" si="14"/>
        <v>-4590</v>
      </c>
    </row>
    <row r="48" spans="2:40" ht="18">
      <c r="H48" s="99" t="s">
        <v>251</v>
      </c>
      <c r="I48" s="99" t="s">
        <v>252</v>
      </c>
      <c r="J48" s="384">
        <f>K44-K47</f>
        <v>8</v>
      </c>
      <c r="K48" s="385">
        <f t="shared" si="14"/>
        <v>8</v>
      </c>
    </row>
    <row r="49" spans="4:31" ht="15">
      <c r="J49" s="394"/>
      <c r="K49" s="395"/>
      <c r="AD49" s="405"/>
      <c r="AE49" s="363"/>
    </row>
    <row r="50" spans="4:31" ht="26.25">
      <c r="D50" s="326"/>
      <c r="I50" s="396" t="s">
        <v>253</v>
      </c>
      <c r="K50" s="397">
        <f>K46+(K48/10)</f>
        <v>-458.2</v>
      </c>
      <c r="L50" s="395" t="s">
        <v>182</v>
      </c>
    </row>
    <row r="51" spans="4:31" ht="15">
      <c r="K51" s="399"/>
      <c r="L51" s="383"/>
    </row>
    <row r="52" spans="4:31" ht="26.25">
      <c r="K52" s="397">
        <f>K41</f>
        <v>1020</v>
      </c>
      <c r="L52" s="395" t="s">
        <v>145</v>
      </c>
    </row>
    <row r="53" spans="4:31">
      <c r="J53" s="399"/>
    </row>
    <row r="54" spans="4:31" ht="32.25" customHeight="1">
      <c r="K54" s="400" t="s">
        <v>257</v>
      </c>
    </row>
    <row r="56" spans="4:31" ht="23.25">
      <c r="K56" s="406">
        <f>H24-K41</f>
        <v>0.5</v>
      </c>
      <c r="L56" s="401" t="s">
        <v>145</v>
      </c>
    </row>
    <row r="57" spans="4:31" ht="23.25">
      <c r="K57" s="406">
        <f>H27-K50</f>
        <v>510.25</v>
      </c>
      <c r="L57" s="401" t="s">
        <v>182</v>
      </c>
    </row>
    <row r="66" spans="8:42" ht="15">
      <c r="O66" s="357" t="s">
        <v>307</v>
      </c>
    </row>
    <row r="68" spans="8:42">
      <c r="AP68" s="363" t="s">
        <v>347</v>
      </c>
    </row>
    <row r="70" spans="8:42">
      <c r="AP70" s="363">
        <f>1/0.125</f>
        <v>8</v>
      </c>
    </row>
    <row r="71" spans="8:42">
      <c r="AP71" s="363">
        <f>1/0.0625</f>
        <v>16</v>
      </c>
    </row>
    <row r="72" spans="8:42">
      <c r="I72" s="127"/>
      <c r="AP72" s="363">
        <f>1/0.03125</f>
        <v>32</v>
      </c>
    </row>
    <row r="73" spans="8:42">
      <c r="AP73" s="363"/>
    </row>
    <row r="74" spans="8:42">
      <c r="AP74" s="363">
        <f>1/0.015625</f>
        <v>64</v>
      </c>
    </row>
    <row r="75" spans="8:42">
      <c r="AP75" s="363">
        <v>128</v>
      </c>
    </row>
    <row r="76" spans="8:42">
      <c r="H76" s="326"/>
    </row>
    <row r="82" spans="4:36" ht="27">
      <c r="I82" s="460" t="s">
        <v>254</v>
      </c>
      <c r="K82" s="461" t="s">
        <v>257</v>
      </c>
    </row>
    <row r="83" spans="4:36" ht="3" customHeight="1"/>
    <row r="84" spans="4:36" ht="26.25">
      <c r="D84" s="127" t="s">
        <v>243</v>
      </c>
      <c r="E84" s="99">
        <f>1/16</f>
        <v>6.25E-2</v>
      </c>
      <c r="H84" s="326" t="s">
        <v>242</v>
      </c>
      <c r="I84" s="462">
        <f>I88*0.0625</f>
        <v>504.3125</v>
      </c>
      <c r="J84" s="463" t="s">
        <v>145</v>
      </c>
      <c r="K84" s="464">
        <f>I84-K91</f>
        <v>0.3125</v>
      </c>
      <c r="L84" s="401" t="s">
        <v>145</v>
      </c>
    </row>
    <row r="85" spans="4:36" ht="26.25">
      <c r="D85" s="127" t="s">
        <v>244</v>
      </c>
      <c r="E85" s="99">
        <f>1/320</f>
        <v>3.1250000000000002E-3</v>
      </c>
      <c r="H85" s="326" t="s">
        <v>245</v>
      </c>
      <c r="I85" s="462">
        <f>I88*0.003125</f>
        <v>25.215625000000003</v>
      </c>
      <c r="J85" s="463" t="s">
        <v>182</v>
      </c>
      <c r="K85" s="464">
        <f>I85-K99</f>
        <v>1.5625000000003553E-2</v>
      </c>
      <c r="L85" s="401" t="s">
        <v>182</v>
      </c>
      <c r="O85" s="465" t="s">
        <v>304</v>
      </c>
    </row>
    <row r="86" spans="4:36" ht="20.25">
      <c r="E86" s="99">
        <f>1/E85</f>
        <v>320</v>
      </c>
      <c r="I86" s="380"/>
      <c r="J86" s="463"/>
      <c r="O86" s="378"/>
    </row>
    <row r="87" spans="4:36" ht="38.25" customHeight="1">
      <c r="I87" s="460" t="s">
        <v>258</v>
      </c>
      <c r="J87" s="463"/>
      <c r="O87" s="465" t="s">
        <v>305</v>
      </c>
    </row>
    <row r="88" spans="4:36" ht="44.25">
      <c r="H88" s="466" t="s">
        <v>216</v>
      </c>
      <c r="I88" s="467">
        <v>8069</v>
      </c>
      <c r="J88" s="379" t="s">
        <v>256</v>
      </c>
      <c r="O88" s="378"/>
    </row>
    <row r="89" spans="4:36" ht="35.25" customHeight="1">
      <c r="I89" s="380"/>
      <c r="J89" s="382"/>
      <c r="K89" s="468" t="s">
        <v>259</v>
      </c>
      <c r="O89" s="465" t="s">
        <v>306</v>
      </c>
    </row>
    <row r="90" spans="4:36" ht="7.5" customHeight="1">
      <c r="I90" s="380"/>
      <c r="J90" s="382"/>
      <c r="K90" s="126"/>
    </row>
    <row r="91" spans="4:36" ht="15">
      <c r="H91" s="99" t="s">
        <v>145</v>
      </c>
      <c r="I91" s="127" t="s">
        <v>255</v>
      </c>
      <c r="J91" s="384">
        <f>I88/16</f>
        <v>504.3125</v>
      </c>
      <c r="K91" s="469">
        <f>INT(J91)</f>
        <v>504</v>
      </c>
      <c r="L91" s="99" t="s">
        <v>145</v>
      </c>
    </row>
    <row r="92" spans="4:36" ht="15">
      <c r="I92" s="127"/>
      <c r="J92" s="384"/>
      <c r="K92" s="395"/>
      <c r="T92" s="388"/>
      <c r="U92" s="388"/>
      <c r="V92" s="388"/>
      <c r="W92" s="388"/>
      <c r="X92" s="388"/>
      <c r="AI92" s="389"/>
      <c r="AJ92" s="390"/>
    </row>
    <row r="93" spans="4:36" ht="31.5" customHeight="1">
      <c r="H93" s="99" t="s">
        <v>246</v>
      </c>
      <c r="I93" s="127" t="s">
        <v>247</v>
      </c>
      <c r="J93" s="384">
        <f>I88/32</f>
        <v>252.15625</v>
      </c>
      <c r="K93" s="470">
        <f t="shared" ref="K93:K97" si="15">INT(J93)</f>
        <v>252</v>
      </c>
      <c r="T93" s="388"/>
      <c r="U93" s="388"/>
      <c r="V93" s="388"/>
      <c r="W93" s="388"/>
      <c r="X93" s="388"/>
      <c r="AI93" s="389"/>
      <c r="AJ93" s="119"/>
    </row>
    <row r="94" spans="4:36" ht="15">
      <c r="J94" s="384"/>
      <c r="K94" s="395"/>
      <c r="T94" s="388"/>
      <c r="U94" s="388"/>
      <c r="V94" s="388"/>
      <c r="W94" s="388"/>
      <c r="X94" s="388"/>
    </row>
    <row r="95" spans="4:36" ht="15">
      <c r="H95" s="99" t="s">
        <v>248</v>
      </c>
      <c r="I95" s="99" t="s">
        <v>249</v>
      </c>
      <c r="J95" s="384">
        <f>K93/10</f>
        <v>25.2</v>
      </c>
      <c r="K95" s="469">
        <f t="shared" si="15"/>
        <v>25</v>
      </c>
      <c r="T95" s="392"/>
      <c r="U95" s="388"/>
      <c r="V95" s="388"/>
      <c r="W95" s="388"/>
      <c r="X95" s="388"/>
    </row>
    <row r="96" spans="4:36" ht="18">
      <c r="H96" s="99" t="s">
        <v>250</v>
      </c>
      <c r="J96" s="384">
        <f>K95*10</f>
        <v>250</v>
      </c>
      <c r="K96" s="470">
        <f t="shared" si="15"/>
        <v>250</v>
      </c>
      <c r="T96" s="392"/>
      <c r="U96" s="393"/>
      <c r="V96" s="388"/>
      <c r="W96" s="388"/>
      <c r="X96" s="388"/>
    </row>
    <row r="97" spans="8:24" ht="15">
      <c r="H97" s="99" t="s">
        <v>251</v>
      </c>
      <c r="I97" s="99" t="s">
        <v>252</v>
      </c>
      <c r="J97" s="384">
        <f>K93-K96</f>
        <v>2</v>
      </c>
      <c r="K97" s="469">
        <f t="shared" si="15"/>
        <v>2</v>
      </c>
      <c r="T97" s="388"/>
      <c r="U97" s="388"/>
      <c r="V97" s="388"/>
      <c r="W97" s="388"/>
      <c r="X97" s="388"/>
    </row>
    <row r="98" spans="8:24" ht="15">
      <c r="J98" s="394"/>
      <c r="K98" s="395"/>
      <c r="T98" s="388"/>
      <c r="U98" s="388"/>
      <c r="V98" s="388"/>
      <c r="W98" s="388"/>
      <c r="X98" s="388"/>
    </row>
    <row r="99" spans="8:24" ht="23.25">
      <c r="I99" s="105" t="s">
        <v>253</v>
      </c>
      <c r="K99" s="471">
        <f>K95+(K97/10)</f>
        <v>25.2</v>
      </c>
      <c r="L99" s="395" t="s">
        <v>182</v>
      </c>
      <c r="T99" s="388"/>
      <c r="U99" s="398"/>
      <c r="V99" s="388"/>
      <c r="W99" s="388"/>
      <c r="X99" s="388"/>
    </row>
    <row r="100" spans="8:24" ht="8.25" customHeight="1">
      <c r="K100" s="399"/>
      <c r="L100" s="383"/>
      <c r="T100" s="388"/>
      <c r="U100" s="393"/>
      <c r="V100" s="388"/>
      <c r="W100" s="388"/>
      <c r="X100" s="388"/>
    </row>
    <row r="101" spans="8:24" ht="23.25">
      <c r="K101" s="471">
        <f>K91</f>
        <v>504</v>
      </c>
      <c r="L101" s="395" t="s">
        <v>145</v>
      </c>
      <c r="T101" s="388"/>
      <c r="U101" s="388"/>
      <c r="V101" s="388"/>
      <c r="W101" s="388"/>
      <c r="X101" s="388"/>
    </row>
    <row r="102" spans="8:24">
      <c r="J102" s="399"/>
      <c r="T102" s="388"/>
      <c r="U102" s="388"/>
      <c r="V102" s="388"/>
      <c r="W102" s="388"/>
      <c r="X102" s="388"/>
    </row>
    <row r="103" spans="8:24">
      <c r="T103" s="388"/>
      <c r="U103" s="388"/>
      <c r="V103" s="388"/>
      <c r="W103" s="388"/>
      <c r="X103" s="388"/>
    </row>
    <row r="104" spans="8:24">
      <c r="T104" s="388"/>
      <c r="U104" s="388"/>
      <c r="V104" s="388"/>
      <c r="W104" s="388"/>
      <c r="X104" s="388"/>
    </row>
    <row r="105" spans="8:24">
      <c r="T105" s="388"/>
      <c r="U105" s="388"/>
      <c r="V105" s="388"/>
      <c r="W105" s="388"/>
      <c r="X105" s="388"/>
    </row>
  </sheetData>
  <sheetProtection password="C9A7" sheet="1" objects="1" scenarios="1"/>
  <mergeCells count="15">
    <mergeCell ref="C4:E4"/>
    <mergeCell ref="H31:I31"/>
    <mergeCell ref="H33:I33"/>
    <mergeCell ref="G36:K36"/>
    <mergeCell ref="O30:P30"/>
    <mergeCell ref="H22:J22"/>
    <mergeCell ref="H29:J29"/>
    <mergeCell ref="H30:I30"/>
    <mergeCell ref="C6:E6"/>
    <mergeCell ref="H24:I24"/>
    <mergeCell ref="H27:I27"/>
    <mergeCell ref="H20:I20"/>
    <mergeCell ref="L27:M27"/>
    <mergeCell ref="H26:I26"/>
    <mergeCell ref="L26:M26"/>
  </mergeCells>
  <conditionalFormatting sqref="N6">
    <cfRule type="cellIs" dxfId="10" priority="9" operator="notEqual">
      <formula>"OK"</formula>
    </cfRule>
  </conditionalFormatting>
  <conditionalFormatting sqref="L6">
    <cfRule type="cellIs" dxfId="9" priority="8" operator="notEqual">
      <formula>"OK"</formula>
    </cfRule>
  </conditionalFormatting>
  <conditionalFormatting sqref="H24:I24">
    <cfRule type="cellIs" dxfId="8" priority="7" operator="greaterThan">
      <formula>1750</formula>
    </cfRule>
  </conditionalFormatting>
  <conditionalFormatting sqref="B8:E8">
    <cfRule type="expression" dxfId="7" priority="6">
      <formula>$H$5=2/3</formula>
    </cfRule>
  </conditionalFormatting>
  <conditionalFormatting sqref="B9:E9">
    <cfRule type="expression" dxfId="6" priority="5">
      <formula>$H$5=1</formula>
    </cfRule>
  </conditionalFormatting>
  <conditionalFormatting sqref="B10:E10">
    <cfRule type="expression" dxfId="5" priority="4">
      <formula>$H$5=2</formula>
    </cfRule>
  </conditionalFormatting>
  <conditionalFormatting sqref="B11:E11">
    <cfRule type="expression" dxfId="4" priority="3">
      <formula>$H$5=4</formula>
    </cfRule>
  </conditionalFormatting>
  <conditionalFormatting sqref="B12:E12">
    <cfRule type="expression" dxfId="3" priority="2">
      <formula>$H$5=8</formula>
    </cfRule>
  </conditionalFormatting>
  <conditionalFormatting sqref="B13:E13">
    <cfRule type="expression" dxfId="2" priority="1">
      <formula>$H$5=16</formula>
    </cfRule>
  </conditionalFormatting>
  <dataValidations count="3">
    <dataValidation type="list" allowBlank="1" showInputMessage="1" showErrorMessage="1" sqref="H5">
      <formula1>$C$8:$C$13</formula1>
    </dataValidation>
    <dataValidation type="whole" allowBlank="1" showInputMessage="1" showErrorMessage="1" errorTitle="MSB Value exceeded " error="Le TMP36 ne délivre pas de tension négative, même pour une température &lt;0°C !_x000a_           Valeur MAX de MSB = 127" sqref="C19">
      <formula1>0</formula1>
      <formula2>127</formula2>
    </dataValidation>
    <dataValidation type="whole" allowBlank="1" showInputMessage="1" showErrorMessage="1" errorTitle="LSB Value exceeded " error="Valeur Max d'un Byte = 255" sqref="C20">
      <formula1>0</formula1>
      <formula2>255</formula2>
    </dataValidation>
  </dataValidations>
  <hyperlinks>
    <hyperlink ref="H15" r:id="rId1"/>
    <hyperlink ref="O66" r:id="rId2"/>
  </hyperlinks>
  <pageMargins left="0.7" right="0.7" top="0.75" bottom="0.75" header="0.3" footer="0.3"/>
  <pageSetup paperSize="9" orientation="portrait" verticalDpi="0" r:id="rId3"/>
  <drawing r:id="rId4"/>
  <legacy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272"/>
  <sheetViews>
    <sheetView showGridLines="0" workbookViewId="0">
      <pane ySplit="15" topLeftCell="A16" activePane="bottomLeft" state="frozen"/>
      <selection activeCell="B1" sqref="B1"/>
      <selection pane="bottomLeft" activeCell="Y7" sqref="Y7"/>
    </sheetView>
  </sheetViews>
  <sheetFormatPr baseColWidth="10" defaultRowHeight="14.25"/>
  <cols>
    <col min="1" max="1" width="1.85546875" style="99" customWidth="1"/>
    <col min="2" max="2" width="30.85546875" style="99" customWidth="1"/>
    <col min="3" max="3" width="1.42578125" style="99" customWidth="1"/>
    <col min="4" max="11" width="7.140625" style="99" customWidth="1"/>
    <col min="12" max="12" width="2.140625" style="99" customWidth="1"/>
    <col min="13" max="20" width="7.140625" style="99" customWidth="1"/>
    <col min="21" max="21" width="4.7109375" style="99" customWidth="1"/>
    <col min="22" max="22" width="34.28515625" style="99" customWidth="1"/>
    <col min="23" max="23" width="22.28515625" style="99" customWidth="1"/>
    <col min="24" max="24" width="19" style="99" customWidth="1"/>
    <col min="25" max="25" width="21" style="99" customWidth="1"/>
    <col min="26" max="26" width="19.42578125" style="99" bestFit="1" customWidth="1"/>
    <col min="27" max="27" width="19.42578125" style="99" customWidth="1"/>
    <col min="28" max="28" width="4.5703125" style="99" customWidth="1"/>
    <col min="29" max="29" width="15.28515625" style="99" customWidth="1"/>
    <col min="30" max="16384" width="11.42578125" style="99"/>
  </cols>
  <sheetData>
    <row r="1" spans="2:25" ht="6" customHeight="1"/>
    <row r="2" spans="2:25" ht="30">
      <c r="C2" s="632" t="s">
        <v>443</v>
      </c>
      <c r="D2" s="523"/>
      <c r="E2" s="523"/>
      <c r="F2" s="523"/>
      <c r="G2" s="523"/>
      <c r="H2" s="523"/>
      <c r="I2" s="523"/>
      <c r="J2" s="523"/>
      <c r="K2" s="523"/>
    </row>
    <row r="3" spans="2:25" ht="7.5" customHeight="1">
      <c r="B3" s="523"/>
      <c r="C3" s="523"/>
      <c r="D3" s="523"/>
      <c r="E3" s="523"/>
      <c r="F3" s="523"/>
      <c r="G3" s="523"/>
      <c r="H3" s="523"/>
      <c r="I3" s="523"/>
      <c r="J3" s="523"/>
      <c r="K3" s="523"/>
    </row>
    <row r="4" spans="2:25" ht="15.75">
      <c r="D4" s="821">
        <f>BIN2DEC(CONCATENATE(D7,E7,F7,G7,H7,I7,J7,K7))</f>
        <v>25</v>
      </c>
      <c r="E4" s="822"/>
      <c r="F4" s="822"/>
      <c r="G4" s="822"/>
      <c r="H4" s="822"/>
      <c r="I4" s="822"/>
      <c r="J4" s="822"/>
      <c r="K4" s="822"/>
      <c r="L4" s="648"/>
      <c r="M4" s="821">
        <f>BIN2DEC(CONCATENATE(M7,N7,O7,P7,Q7,R7,S7,T7))</f>
        <v>156</v>
      </c>
      <c r="N4" s="822"/>
      <c r="O4" s="822"/>
      <c r="P4" s="822"/>
      <c r="Q4" s="822"/>
      <c r="R4" s="822"/>
      <c r="S4" s="822"/>
      <c r="T4" s="822"/>
    </row>
    <row r="5" spans="2:25" ht="35.25">
      <c r="B5" s="651" t="s">
        <v>216</v>
      </c>
      <c r="D5" s="819" t="s">
        <v>119</v>
      </c>
      <c r="E5" s="820"/>
      <c r="F5" s="820"/>
      <c r="G5" s="820"/>
      <c r="H5" s="820"/>
      <c r="I5" s="820"/>
      <c r="J5" s="820"/>
      <c r="K5" s="820"/>
      <c r="L5" s="652"/>
      <c r="M5" s="819" t="s">
        <v>118</v>
      </c>
      <c r="N5" s="820"/>
      <c r="O5" s="820"/>
      <c r="P5" s="820"/>
      <c r="Q5" s="820"/>
      <c r="R5" s="820"/>
      <c r="S5" s="820"/>
      <c r="T5" s="820"/>
      <c r="V5" s="525" t="s">
        <v>390</v>
      </c>
      <c r="W5" s="525" t="s">
        <v>391</v>
      </c>
      <c r="X5" s="653" t="s">
        <v>392</v>
      </c>
      <c r="Y5" s="524"/>
    </row>
    <row r="6" spans="2:25" ht="24" customHeight="1" thickBot="1">
      <c r="B6" s="633" t="s">
        <v>167</v>
      </c>
      <c r="D6" s="539" t="str">
        <f>IF(D7=1,"Indice de valeur Négative","")</f>
        <v/>
      </c>
    </row>
    <row r="7" spans="2:25" ht="29.25" thickTop="1" thickBot="1">
      <c r="B7" s="634" t="s">
        <v>450</v>
      </c>
      <c r="C7" s="527"/>
      <c r="D7" s="636">
        <v>0</v>
      </c>
      <c r="E7" s="520">
        <v>0</v>
      </c>
      <c r="F7" s="520">
        <v>0</v>
      </c>
      <c r="G7" s="520">
        <v>1</v>
      </c>
      <c r="H7" s="520">
        <v>1</v>
      </c>
      <c r="I7" s="520">
        <v>0</v>
      </c>
      <c r="J7" s="520">
        <v>0</v>
      </c>
      <c r="K7" s="521">
        <v>1</v>
      </c>
      <c r="L7" s="528"/>
      <c r="M7" s="519">
        <v>1</v>
      </c>
      <c r="N7" s="520">
        <v>0</v>
      </c>
      <c r="O7" s="520">
        <v>0</v>
      </c>
      <c r="P7" s="520">
        <v>1</v>
      </c>
      <c r="Q7" s="520">
        <v>1</v>
      </c>
      <c r="R7" s="520">
        <v>1</v>
      </c>
      <c r="S7" s="520">
        <v>0</v>
      </c>
      <c r="T7" s="521">
        <v>0</v>
      </c>
      <c r="V7" s="525" t="str">
        <f>CONCATENATE(D7,E7,F7,G7,H7,I7,J7,K7,"_",M7,N7,O7,P7,Q7,R7,S7,T7)</f>
        <v>00011001_10011100</v>
      </c>
      <c r="W7" s="650">
        <f>(D4*256)+M4</f>
        <v>6556</v>
      </c>
      <c r="X7" s="526"/>
    </row>
    <row r="8" spans="2:25" ht="6.75" customHeight="1" thickTop="1"/>
    <row r="9" spans="2:25" ht="15" hidden="1">
      <c r="D9" s="793">
        <f>BIN2DEC(CONCATENATE(D10,E10,F10,G10,H10,I10,J10,K10))</f>
        <v>230</v>
      </c>
      <c r="E9" s="794"/>
      <c r="F9" s="794"/>
      <c r="G9" s="794"/>
      <c r="H9" s="794"/>
      <c r="I9" s="794"/>
      <c r="J9" s="794"/>
      <c r="K9" s="794"/>
      <c r="M9" s="793">
        <f>BIN2DEC(CONCATENATE(M10,N10,O10,P10,Q10,R10,S10,T10))</f>
        <v>99</v>
      </c>
      <c r="N9" s="794"/>
      <c r="O9" s="794"/>
      <c r="P9" s="794"/>
      <c r="Q9" s="794"/>
      <c r="R9" s="794"/>
      <c r="S9" s="794"/>
      <c r="T9" s="794"/>
    </row>
    <row r="10" spans="2:25" ht="23.25">
      <c r="B10" s="529" t="s">
        <v>393</v>
      </c>
      <c r="C10" s="529"/>
      <c r="D10" s="530">
        <f t="shared" ref="D10:K10" si="0">IF(D7=1,0,1)</f>
        <v>1</v>
      </c>
      <c r="E10" s="530">
        <f t="shared" si="0"/>
        <v>1</v>
      </c>
      <c r="F10" s="530">
        <f t="shared" si="0"/>
        <v>1</v>
      </c>
      <c r="G10" s="530">
        <f t="shared" si="0"/>
        <v>0</v>
      </c>
      <c r="H10" s="530">
        <f t="shared" si="0"/>
        <v>0</v>
      </c>
      <c r="I10" s="530">
        <f t="shared" si="0"/>
        <v>1</v>
      </c>
      <c r="J10" s="530">
        <f t="shared" si="0"/>
        <v>1</v>
      </c>
      <c r="K10" s="530">
        <f t="shared" si="0"/>
        <v>0</v>
      </c>
      <c r="M10" s="530">
        <f t="shared" ref="M10:T10" si="1">IF(M7=1,0,1)</f>
        <v>0</v>
      </c>
      <c r="N10" s="530">
        <f t="shared" si="1"/>
        <v>1</v>
      </c>
      <c r="O10" s="530">
        <f t="shared" si="1"/>
        <v>1</v>
      </c>
      <c r="P10" s="530">
        <f t="shared" si="1"/>
        <v>0</v>
      </c>
      <c r="Q10" s="530">
        <f t="shared" si="1"/>
        <v>0</v>
      </c>
      <c r="R10" s="530">
        <f t="shared" si="1"/>
        <v>0</v>
      </c>
      <c r="S10" s="530">
        <f t="shared" si="1"/>
        <v>1</v>
      </c>
      <c r="T10" s="530">
        <f t="shared" si="1"/>
        <v>1</v>
      </c>
      <c r="V10" s="525" t="str">
        <f>CONCATENATE(D10,E10,F10,G10,H10,I10,J10,K10,"_",M10,N10,O10,P10,Q10,R10,S10,T10)</f>
        <v>11100110_01100011</v>
      </c>
      <c r="W10" s="531">
        <f>(D9*256)+M9</f>
        <v>58979</v>
      </c>
    </row>
    <row r="11" spans="2:25" ht="16.5" customHeight="1" thickBot="1">
      <c r="B11" s="529"/>
      <c r="C11" s="529"/>
      <c r="D11" s="529"/>
      <c r="E11" s="529"/>
      <c r="F11" s="529"/>
      <c r="G11" s="529"/>
      <c r="H11" s="529"/>
      <c r="I11" s="529"/>
      <c r="J11" s="529"/>
      <c r="K11" s="529"/>
      <c r="V11" s="647" t="str">
        <f>DEC2BIN((W12)/256,8)&amp;DEC2BIN(MOD(W12,256),8)</f>
        <v>1110011001100100</v>
      </c>
      <c r="W11" s="119" t="s">
        <v>396</v>
      </c>
      <c r="X11" s="119" t="s">
        <v>449</v>
      </c>
    </row>
    <row r="12" spans="2:25" ht="29.25" thickTop="1" thickBot="1">
      <c r="B12" s="529" t="s">
        <v>397</v>
      </c>
      <c r="C12" s="529"/>
      <c r="D12" s="637" t="str">
        <f>MID($V$11,1,1)</f>
        <v>1</v>
      </c>
      <c r="E12" s="533" t="str">
        <f>MID($V$11,2,1)</f>
        <v>1</v>
      </c>
      <c r="F12" s="533" t="str">
        <f>MID($V$11,3,1)</f>
        <v>1</v>
      </c>
      <c r="G12" s="533" t="str">
        <f>MID($V$11,4,1)</f>
        <v>0</v>
      </c>
      <c r="H12" s="533" t="str">
        <f>MID($V$11,5,1)</f>
        <v>0</v>
      </c>
      <c r="I12" s="533" t="str">
        <f>MID($V$11,6,1)</f>
        <v>1</v>
      </c>
      <c r="J12" s="533" t="str">
        <f>MID($V$11,7,1)</f>
        <v>1</v>
      </c>
      <c r="K12" s="534" t="str">
        <f>MID($V$11,8,1)</f>
        <v>0</v>
      </c>
      <c r="M12" s="532" t="str">
        <f>MID($V$11,9,1)</f>
        <v>0</v>
      </c>
      <c r="N12" s="533" t="str">
        <f>MID($V$11,10,1)</f>
        <v>1</v>
      </c>
      <c r="O12" s="533" t="str">
        <f>MID($V$11,11,1)</f>
        <v>1</v>
      </c>
      <c r="P12" s="533" t="str">
        <f>MID($V$11,12,1)</f>
        <v>0</v>
      </c>
      <c r="Q12" s="533" t="str">
        <f>MID($V$11,13,1)</f>
        <v>0</v>
      </c>
      <c r="R12" s="533" t="str">
        <f>MID($V$11,14,1)</f>
        <v>1</v>
      </c>
      <c r="S12" s="533" t="str">
        <f>MID($V$11,15,1)</f>
        <v>0</v>
      </c>
      <c r="T12" s="534" t="str">
        <f>MID($V$11,16,1)</f>
        <v>0</v>
      </c>
      <c r="V12" s="525" t="str">
        <f>CONCATENATE(D12,E12,F12,G12,H12,I12,J12,K12,"_",M12,N12,O12,P12,Q12,R12,S12,T12)</f>
        <v>11100110_01100100</v>
      </c>
      <c r="W12" s="654">
        <f>W10+1</f>
        <v>58980</v>
      </c>
      <c r="X12" s="655">
        <f>65536-W7</f>
        <v>58980</v>
      </c>
    </row>
    <row r="13" spans="2:25" ht="21.75" customHeight="1" thickTop="1">
      <c r="D13" s="817">
        <f>BIN2DEC(CONCATENATE(D12,E12,F12,G12,H12,I12,J12,K12))</f>
        <v>230</v>
      </c>
      <c r="E13" s="818"/>
      <c r="F13" s="818"/>
      <c r="G13" s="818"/>
      <c r="H13" s="818"/>
      <c r="I13" s="818"/>
      <c r="J13" s="818"/>
      <c r="K13" s="818"/>
      <c r="L13" s="649"/>
      <c r="M13" s="817">
        <f>BIN2DEC(CONCATENATE(M12,N12,O12,P12,Q12,R12,S12,T12))</f>
        <v>100</v>
      </c>
      <c r="N13" s="818"/>
      <c r="O13" s="818"/>
      <c r="P13" s="818"/>
      <c r="Q13" s="818"/>
      <c r="R13" s="818"/>
      <c r="S13" s="818"/>
      <c r="T13" s="818"/>
    </row>
    <row r="14" spans="2:25" ht="18">
      <c r="D14" s="538" t="str">
        <f>IF(D12="1","Indice de valeur Négative","")</f>
        <v>Indice de valeur Négative</v>
      </c>
    </row>
    <row r="15" spans="2:25" ht="5.25" customHeight="1"/>
    <row r="16" spans="2:25">
      <c r="W16" s="513" t="s">
        <v>394</v>
      </c>
      <c r="X16" s="513" t="s">
        <v>395</v>
      </c>
    </row>
    <row r="17" spans="3:25" ht="27.75" customHeight="1" thickBot="1">
      <c r="C17" s="635" t="s">
        <v>438</v>
      </c>
      <c r="D17" s="436"/>
      <c r="W17" s="535" t="s">
        <v>220</v>
      </c>
      <c r="X17" s="536" t="s">
        <v>392</v>
      </c>
    </row>
    <row r="18" spans="3:25">
      <c r="V18" s="326" t="str">
        <f t="shared" ref="V18:V19" si="2">DEC2BIN(W18,8)</f>
        <v>00000001</v>
      </c>
      <c r="W18" s="513">
        <v>1</v>
      </c>
      <c r="X18" s="537">
        <f>65536-W18</f>
        <v>65535</v>
      </c>
      <c r="Y18" s="99" t="str">
        <f>DEC2BIN((X18)/256,8)&amp;DEC2BIN(MOD(X18,256),8)</f>
        <v>1111111111111111</v>
      </c>
    </row>
    <row r="19" spans="3:25">
      <c r="V19" s="326" t="str">
        <f t="shared" si="2"/>
        <v>00000010</v>
      </c>
      <c r="W19" s="513">
        <v>2</v>
      </c>
      <c r="X19" s="537">
        <f>65536-W19</f>
        <v>65534</v>
      </c>
      <c r="Y19" s="99" t="str">
        <f t="shared" ref="Y19:Y82" si="3">DEC2BIN((X19)/256,8)&amp;DEC2BIN(MOD(X19,256),8)</f>
        <v>1111111111111110</v>
      </c>
    </row>
    <row r="20" spans="3:25">
      <c r="V20" s="326" t="str">
        <f>DEC2BIN(W20,8)</f>
        <v>00000011</v>
      </c>
      <c r="W20" s="513">
        <v>3</v>
      </c>
      <c r="X20" s="537">
        <f t="shared" ref="X20:X83" si="4">65536-W20</f>
        <v>65533</v>
      </c>
      <c r="Y20" s="99" t="str">
        <f t="shared" si="3"/>
        <v>1111111111111101</v>
      </c>
    </row>
    <row r="21" spans="3:25">
      <c r="V21" s="326" t="str">
        <f t="shared" ref="V21:V84" si="5">DEC2BIN(W21,8)</f>
        <v>00000100</v>
      </c>
      <c r="W21" s="513">
        <v>4</v>
      </c>
      <c r="X21" s="537">
        <f t="shared" si="4"/>
        <v>65532</v>
      </c>
      <c r="Y21" s="99" t="str">
        <f t="shared" si="3"/>
        <v>1111111111111100</v>
      </c>
    </row>
    <row r="22" spans="3:25">
      <c r="V22" s="326" t="str">
        <f t="shared" si="5"/>
        <v>00000101</v>
      </c>
      <c r="W22" s="513">
        <v>5</v>
      </c>
      <c r="X22" s="537">
        <f t="shared" si="4"/>
        <v>65531</v>
      </c>
      <c r="Y22" s="99" t="str">
        <f t="shared" si="3"/>
        <v>1111111111111011</v>
      </c>
    </row>
    <row r="23" spans="3:25">
      <c r="V23" s="326" t="str">
        <f t="shared" si="5"/>
        <v>00000110</v>
      </c>
      <c r="W23" s="513">
        <v>6</v>
      </c>
      <c r="X23" s="537">
        <f t="shared" si="4"/>
        <v>65530</v>
      </c>
      <c r="Y23" s="99" t="str">
        <f t="shared" si="3"/>
        <v>1111111111111010</v>
      </c>
    </row>
    <row r="24" spans="3:25">
      <c r="V24" s="326" t="str">
        <f t="shared" si="5"/>
        <v>00000111</v>
      </c>
      <c r="W24" s="513">
        <v>7</v>
      </c>
      <c r="X24" s="537">
        <f t="shared" si="4"/>
        <v>65529</v>
      </c>
      <c r="Y24" s="99" t="str">
        <f t="shared" si="3"/>
        <v>1111111111111001</v>
      </c>
    </row>
    <row r="25" spans="3:25">
      <c r="V25" s="326" t="str">
        <f t="shared" si="5"/>
        <v>00001000</v>
      </c>
      <c r="W25" s="513">
        <v>8</v>
      </c>
      <c r="X25" s="537">
        <f t="shared" si="4"/>
        <v>65528</v>
      </c>
      <c r="Y25" s="99" t="str">
        <f t="shared" si="3"/>
        <v>1111111111111000</v>
      </c>
    </row>
    <row r="26" spans="3:25">
      <c r="V26" s="326" t="str">
        <f t="shared" si="5"/>
        <v>00001001</v>
      </c>
      <c r="W26" s="513">
        <v>9</v>
      </c>
      <c r="X26" s="537">
        <f t="shared" si="4"/>
        <v>65527</v>
      </c>
      <c r="Y26" s="99" t="str">
        <f t="shared" si="3"/>
        <v>1111111111110111</v>
      </c>
    </row>
    <row r="27" spans="3:25">
      <c r="V27" s="326" t="str">
        <f t="shared" si="5"/>
        <v>00001010</v>
      </c>
      <c r="W27" s="513">
        <v>10</v>
      </c>
      <c r="X27" s="537">
        <f t="shared" si="4"/>
        <v>65526</v>
      </c>
      <c r="Y27" s="99" t="str">
        <f t="shared" si="3"/>
        <v>1111111111110110</v>
      </c>
    </row>
    <row r="28" spans="3:25">
      <c r="V28" s="326" t="str">
        <f t="shared" si="5"/>
        <v>00001011</v>
      </c>
      <c r="W28" s="513">
        <v>11</v>
      </c>
      <c r="X28" s="537">
        <f t="shared" si="4"/>
        <v>65525</v>
      </c>
      <c r="Y28" s="99" t="str">
        <f t="shared" si="3"/>
        <v>1111111111110101</v>
      </c>
    </row>
    <row r="29" spans="3:25">
      <c r="V29" s="326" t="str">
        <f t="shared" si="5"/>
        <v>00001100</v>
      </c>
      <c r="W29" s="513">
        <v>12</v>
      </c>
      <c r="X29" s="537">
        <f t="shared" si="4"/>
        <v>65524</v>
      </c>
      <c r="Y29" s="99" t="str">
        <f t="shared" si="3"/>
        <v>1111111111110100</v>
      </c>
    </row>
    <row r="30" spans="3:25">
      <c r="V30" s="326" t="str">
        <f t="shared" si="5"/>
        <v>00001101</v>
      </c>
      <c r="W30" s="513">
        <v>13</v>
      </c>
      <c r="X30" s="537">
        <f t="shared" si="4"/>
        <v>65523</v>
      </c>
      <c r="Y30" s="99" t="str">
        <f t="shared" si="3"/>
        <v>1111111111110011</v>
      </c>
    </row>
    <row r="31" spans="3:25">
      <c r="V31" s="326" t="str">
        <f t="shared" si="5"/>
        <v>00001110</v>
      </c>
      <c r="W31" s="513">
        <v>14</v>
      </c>
      <c r="X31" s="537">
        <f t="shared" si="4"/>
        <v>65522</v>
      </c>
      <c r="Y31" s="99" t="str">
        <f t="shared" si="3"/>
        <v>1111111111110010</v>
      </c>
    </row>
    <row r="32" spans="3:25">
      <c r="V32" s="326" t="str">
        <f t="shared" si="5"/>
        <v>00001111</v>
      </c>
      <c r="W32" s="513">
        <v>15</v>
      </c>
      <c r="X32" s="537">
        <f t="shared" si="4"/>
        <v>65521</v>
      </c>
      <c r="Y32" s="99" t="str">
        <f t="shared" si="3"/>
        <v>1111111111110001</v>
      </c>
    </row>
    <row r="33" spans="22:25">
      <c r="V33" s="326" t="str">
        <f t="shared" si="5"/>
        <v>00010000</v>
      </c>
      <c r="W33" s="513">
        <v>16</v>
      </c>
      <c r="X33" s="537">
        <f t="shared" si="4"/>
        <v>65520</v>
      </c>
      <c r="Y33" s="99" t="str">
        <f t="shared" si="3"/>
        <v>1111111111110000</v>
      </c>
    </row>
    <row r="34" spans="22:25">
      <c r="V34" s="326" t="str">
        <f t="shared" si="5"/>
        <v>00010001</v>
      </c>
      <c r="W34" s="513">
        <v>17</v>
      </c>
      <c r="X34" s="537">
        <f t="shared" si="4"/>
        <v>65519</v>
      </c>
      <c r="Y34" s="99" t="str">
        <f t="shared" si="3"/>
        <v>1111111111101111</v>
      </c>
    </row>
    <row r="35" spans="22:25">
      <c r="V35" s="326" t="str">
        <f t="shared" si="5"/>
        <v>00010010</v>
      </c>
      <c r="W35" s="513">
        <v>18</v>
      </c>
      <c r="X35" s="537">
        <f t="shared" si="4"/>
        <v>65518</v>
      </c>
      <c r="Y35" s="99" t="str">
        <f t="shared" si="3"/>
        <v>1111111111101110</v>
      </c>
    </row>
    <row r="36" spans="22:25">
      <c r="V36" s="326" t="str">
        <f t="shared" si="5"/>
        <v>00010011</v>
      </c>
      <c r="W36" s="513">
        <v>19</v>
      </c>
      <c r="X36" s="537">
        <f t="shared" si="4"/>
        <v>65517</v>
      </c>
      <c r="Y36" s="99" t="str">
        <f t="shared" si="3"/>
        <v>1111111111101101</v>
      </c>
    </row>
    <row r="37" spans="22:25">
      <c r="V37" s="326" t="str">
        <f t="shared" si="5"/>
        <v>00010100</v>
      </c>
      <c r="W37" s="513">
        <v>20</v>
      </c>
      <c r="X37" s="537">
        <f t="shared" si="4"/>
        <v>65516</v>
      </c>
      <c r="Y37" s="99" t="str">
        <f t="shared" si="3"/>
        <v>1111111111101100</v>
      </c>
    </row>
    <row r="38" spans="22:25">
      <c r="V38" s="326" t="str">
        <f t="shared" si="5"/>
        <v>00010101</v>
      </c>
      <c r="W38" s="513">
        <v>21</v>
      </c>
      <c r="X38" s="537">
        <f t="shared" si="4"/>
        <v>65515</v>
      </c>
      <c r="Y38" s="99" t="str">
        <f t="shared" si="3"/>
        <v>1111111111101011</v>
      </c>
    </row>
    <row r="39" spans="22:25">
      <c r="V39" s="326" t="str">
        <f t="shared" si="5"/>
        <v>00010110</v>
      </c>
      <c r="W39" s="513">
        <v>22</v>
      </c>
      <c r="X39" s="537">
        <f t="shared" si="4"/>
        <v>65514</v>
      </c>
      <c r="Y39" s="99" t="str">
        <f t="shared" si="3"/>
        <v>1111111111101010</v>
      </c>
    </row>
    <row r="40" spans="22:25">
      <c r="V40" s="326" t="str">
        <f t="shared" si="5"/>
        <v>00010111</v>
      </c>
      <c r="W40" s="513">
        <v>23</v>
      </c>
      <c r="X40" s="537">
        <f t="shared" si="4"/>
        <v>65513</v>
      </c>
      <c r="Y40" s="99" t="str">
        <f t="shared" si="3"/>
        <v>1111111111101001</v>
      </c>
    </row>
    <row r="41" spans="22:25">
      <c r="V41" s="326" t="str">
        <f t="shared" si="5"/>
        <v>00011000</v>
      </c>
      <c r="W41" s="513">
        <v>24</v>
      </c>
      <c r="X41" s="537">
        <f t="shared" si="4"/>
        <v>65512</v>
      </c>
      <c r="Y41" s="99" t="str">
        <f t="shared" si="3"/>
        <v>1111111111101000</v>
      </c>
    </row>
    <row r="42" spans="22:25">
      <c r="V42" s="326" t="str">
        <f t="shared" si="5"/>
        <v>00011001</v>
      </c>
      <c r="W42" s="513">
        <v>25</v>
      </c>
      <c r="X42" s="537">
        <f t="shared" si="4"/>
        <v>65511</v>
      </c>
      <c r="Y42" s="99" t="str">
        <f t="shared" si="3"/>
        <v>1111111111100111</v>
      </c>
    </row>
    <row r="43" spans="22:25">
      <c r="V43" s="326" t="str">
        <f t="shared" si="5"/>
        <v>00011010</v>
      </c>
      <c r="W43" s="513">
        <v>26</v>
      </c>
      <c r="X43" s="537">
        <f t="shared" si="4"/>
        <v>65510</v>
      </c>
      <c r="Y43" s="99" t="str">
        <f t="shared" si="3"/>
        <v>1111111111100110</v>
      </c>
    </row>
    <row r="44" spans="22:25">
      <c r="V44" s="326" t="str">
        <f t="shared" si="5"/>
        <v>00011011</v>
      </c>
      <c r="W44" s="513">
        <v>27</v>
      </c>
      <c r="X44" s="537">
        <f t="shared" si="4"/>
        <v>65509</v>
      </c>
      <c r="Y44" s="99" t="str">
        <f t="shared" si="3"/>
        <v>1111111111100101</v>
      </c>
    </row>
    <row r="45" spans="22:25">
      <c r="V45" s="326" t="str">
        <f t="shared" si="5"/>
        <v>00011100</v>
      </c>
      <c r="W45" s="513">
        <v>28</v>
      </c>
      <c r="X45" s="537">
        <f t="shared" si="4"/>
        <v>65508</v>
      </c>
      <c r="Y45" s="99" t="str">
        <f t="shared" si="3"/>
        <v>1111111111100100</v>
      </c>
    </row>
    <row r="46" spans="22:25">
      <c r="V46" s="326" t="str">
        <f t="shared" si="5"/>
        <v>00011101</v>
      </c>
      <c r="W46" s="513">
        <v>29</v>
      </c>
      <c r="X46" s="537">
        <f t="shared" si="4"/>
        <v>65507</v>
      </c>
      <c r="Y46" s="99" t="str">
        <f t="shared" si="3"/>
        <v>1111111111100011</v>
      </c>
    </row>
    <row r="47" spans="22:25">
      <c r="V47" s="326" t="str">
        <f t="shared" si="5"/>
        <v>00011110</v>
      </c>
      <c r="W47" s="513">
        <v>30</v>
      </c>
      <c r="X47" s="537">
        <f t="shared" si="4"/>
        <v>65506</v>
      </c>
      <c r="Y47" s="99" t="str">
        <f t="shared" si="3"/>
        <v>1111111111100010</v>
      </c>
    </row>
    <row r="48" spans="22:25">
      <c r="V48" s="326" t="str">
        <f t="shared" si="5"/>
        <v>00011111</v>
      </c>
      <c r="W48" s="513">
        <v>31</v>
      </c>
      <c r="X48" s="537">
        <f t="shared" si="4"/>
        <v>65505</v>
      </c>
      <c r="Y48" s="99" t="str">
        <f t="shared" si="3"/>
        <v>1111111111100001</v>
      </c>
    </row>
    <row r="49" spans="22:25">
      <c r="V49" s="326" t="str">
        <f t="shared" si="5"/>
        <v>00100000</v>
      </c>
      <c r="W49" s="513">
        <v>32</v>
      </c>
      <c r="X49" s="537">
        <f t="shared" si="4"/>
        <v>65504</v>
      </c>
      <c r="Y49" s="99" t="str">
        <f t="shared" si="3"/>
        <v>1111111111100000</v>
      </c>
    </row>
    <row r="50" spans="22:25">
      <c r="V50" s="326" t="str">
        <f t="shared" si="5"/>
        <v>00100001</v>
      </c>
      <c r="W50" s="513">
        <v>33</v>
      </c>
      <c r="X50" s="537">
        <f t="shared" si="4"/>
        <v>65503</v>
      </c>
      <c r="Y50" s="99" t="str">
        <f t="shared" si="3"/>
        <v>1111111111011111</v>
      </c>
    </row>
    <row r="51" spans="22:25">
      <c r="V51" s="326" t="str">
        <f t="shared" si="5"/>
        <v>00100010</v>
      </c>
      <c r="W51" s="513">
        <v>34</v>
      </c>
      <c r="X51" s="537">
        <f t="shared" si="4"/>
        <v>65502</v>
      </c>
      <c r="Y51" s="99" t="str">
        <f t="shared" si="3"/>
        <v>1111111111011110</v>
      </c>
    </row>
    <row r="52" spans="22:25">
      <c r="V52" s="326" t="str">
        <f t="shared" si="5"/>
        <v>00100011</v>
      </c>
      <c r="W52" s="513">
        <v>35</v>
      </c>
      <c r="X52" s="537">
        <f t="shared" si="4"/>
        <v>65501</v>
      </c>
      <c r="Y52" s="99" t="str">
        <f t="shared" si="3"/>
        <v>1111111111011101</v>
      </c>
    </row>
    <row r="53" spans="22:25">
      <c r="V53" s="326" t="str">
        <f t="shared" si="5"/>
        <v>00100100</v>
      </c>
      <c r="W53" s="513">
        <v>36</v>
      </c>
      <c r="X53" s="537">
        <f t="shared" si="4"/>
        <v>65500</v>
      </c>
      <c r="Y53" s="99" t="str">
        <f t="shared" si="3"/>
        <v>1111111111011100</v>
      </c>
    </row>
    <row r="54" spans="22:25">
      <c r="V54" s="326" t="str">
        <f t="shared" si="5"/>
        <v>00100101</v>
      </c>
      <c r="W54" s="513">
        <v>37</v>
      </c>
      <c r="X54" s="537">
        <f t="shared" si="4"/>
        <v>65499</v>
      </c>
      <c r="Y54" s="99" t="str">
        <f t="shared" si="3"/>
        <v>1111111111011011</v>
      </c>
    </row>
    <row r="55" spans="22:25">
      <c r="V55" s="326" t="str">
        <f t="shared" si="5"/>
        <v>00100110</v>
      </c>
      <c r="W55" s="513">
        <v>38</v>
      </c>
      <c r="X55" s="537">
        <f t="shared" si="4"/>
        <v>65498</v>
      </c>
      <c r="Y55" s="99" t="str">
        <f t="shared" si="3"/>
        <v>1111111111011010</v>
      </c>
    </row>
    <row r="56" spans="22:25">
      <c r="V56" s="326" t="str">
        <f t="shared" si="5"/>
        <v>00100111</v>
      </c>
      <c r="W56" s="513">
        <v>39</v>
      </c>
      <c r="X56" s="537">
        <f t="shared" si="4"/>
        <v>65497</v>
      </c>
      <c r="Y56" s="99" t="str">
        <f t="shared" si="3"/>
        <v>1111111111011001</v>
      </c>
    </row>
    <row r="57" spans="22:25">
      <c r="V57" s="326" t="str">
        <f t="shared" si="5"/>
        <v>00101000</v>
      </c>
      <c r="W57" s="513">
        <v>40</v>
      </c>
      <c r="X57" s="537">
        <f t="shared" si="4"/>
        <v>65496</v>
      </c>
      <c r="Y57" s="99" t="str">
        <f t="shared" si="3"/>
        <v>1111111111011000</v>
      </c>
    </row>
    <row r="58" spans="22:25">
      <c r="V58" s="326" t="str">
        <f t="shared" si="5"/>
        <v>00101001</v>
      </c>
      <c r="W58" s="513">
        <v>41</v>
      </c>
      <c r="X58" s="537">
        <f t="shared" si="4"/>
        <v>65495</v>
      </c>
      <c r="Y58" s="99" t="str">
        <f t="shared" si="3"/>
        <v>1111111111010111</v>
      </c>
    </row>
    <row r="59" spans="22:25">
      <c r="V59" s="326" t="str">
        <f t="shared" si="5"/>
        <v>00101010</v>
      </c>
      <c r="W59" s="513">
        <v>42</v>
      </c>
      <c r="X59" s="537">
        <f t="shared" si="4"/>
        <v>65494</v>
      </c>
      <c r="Y59" s="99" t="str">
        <f t="shared" si="3"/>
        <v>1111111111010110</v>
      </c>
    </row>
    <row r="60" spans="22:25">
      <c r="V60" s="326" t="str">
        <f t="shared" si="5"/>
        <v>00101011</v>
      </c>
      <c r="W60" s="513">
        <v>43</v>
      </c>
      <c r="X60" s="537">
        <f t="shared" si="4"/>
        <v>65493</v>
      </c>
      <c r="Y60" s="99" t="str">
        <f t="shared" si="3"/>
        <v>1111111111010101</v>
      </c>
    </row>
    <row r="61" spans="22:25">
      <c r="V61" s="326" t="str">
        <f t="shared" si="5"/>
        <v>00101100</v>
      </c>
      <c r="W61" s="513">
        <v>44</v>
      </c>
      <c r="X61" s="537">
        <f t="shared" si="4"/>
        <v>65492</v>
      </c>
      <c r="Y61" s="99" t="str">
        <f t="shared" si="3"/>
        <v>1111111111010100</v>
      </c>
    </row>
    <row r="62" spans="22:25">
      <c r="V62" s="326" t="str">
        <f t="shared" si="5"/>
        <v>00101101</v>
      </c>
      <c r="W62" s="513">
        <v>45</v>
      </c>
      <c r="X62" s="537">
        <f t="shared" si="4"/>
        <v>65491</v>
      </c>
      <c r="Y62" s="99" t="str">
        <f t="shared" si="3"/>
        <v>1111111111010011</v>
      </c>
    </row>
    <row r="63" spans="22:25">
      <c r="V63" s="326" t="str">
        <f t="shared" si="5"/>
        <v>00101110</v>
      </c>
      <c r="W63" s="513">
        <v>46</v>
      </c>
      <c r="X63" s="537">
        <f t="shared" si="4"/>
        <v>65490</v>
      </c>
      <c r="Y63" s="99" t="str">
        <f t="shared" si="3"/>
        <v>1111111111010010</v>
      </c>
    </row>
    <row r="64" spans="22:25">
      <c r="V64" s="326" t="str">
        <f t="shared" si="5"/>
        <v>00101111</v>
      </c>
      <c r="W64" s="513">
        <v>47</v>
      </c>
      <c r="X64" s="537">
        <f t="shared" si="4"/>
        <v>65489</v>
      </c>
      <c r="Y64" s="99" t="str">
        <f t="shared" si="3"/>
        <v>1111111111010001</v>
      </c>
    </row>
    <row r="65" spans="22:25">
      <c r="V65" s="326" t="str">
        <f t="shared" si="5"/>
        <v>00110000</v>
      </c>
      <c r="W65" s="513">
        <v>48</v>
      </c>
      <c r="X65" s="537">
        <f t="shared" si="4"/>
        <v>65488</v>
      </c>
      <c r="Y65" s="99" t="str">
        <f t="shared" si="3"/>
        <v>1111111111010000</v>
      </c>
    </row>
    <row r="66" spans="22:25">
      <c r="V66" s="326" t="str">
        <f t="shared" si="5"/>
        <v>00110001</v>
      </c>
      <c r="W66" s="513">
        <v>49</v>
      </c>
      <c r="X66" s="537">
        <f t="shared" si="4"/>
        <v>65487</v>
      </c>
      <c r="Y66" s="99" t="str">
        <f t="shared" si="3"/>
        <v>1111111111001111</v>
      </c>
    </row>
    <row r="67" spans="22:25">
      <c r="V67" s="326" t="str">
        <f t="shared" si="5"/>
        <v>00110010</v>
      </c>
      <c r="W67" s="513">
        <v>50</v>
      </c>
      <c r="X67" s="537">
        <f t="shared" si="4"/>
        <v>65486</v>
      </c>
      <c r="Y67" s="99" t="str">
        <f t="shared" si="3"/>
        <v>1111111111001110</v>
      </c>
    </row>
    <row r="68" spans="22:25">
      <c r="V68" s="326" t="str">
        <f t="shared" si="5"/>
        <v>00110011</v>
      </c>
      <c r="W68" s="513">
        <v>51</v>
      </c>
      <c r="X68" s="537">
        <f t="shared" si="4"/>
        <v>65485</v>
      </c>
      <c r="Y68" s="99" t="str">
        <f t="shared" si="3"/>
        <v>1111111111001101</v>
      </c>
    </row>
    <row r="69" spans="22:25">
      <c r="V69" s="326" t="str">
        <f t="shared" si="5"/>
        <v>00110100</v>
      </c>
      <c r="W69" s="513">
        <v>52</v>
      </c>
      <c r="X69" s="537">
        <f t="shared" si="4"/>
        <v>65484</v>
      </c>
      <c r="Y69" s="99" t="str">
        <f t="shared" si="3"/>
        <v>1111111111001100</v>
      </c>
    </row>
    <row r="70" spans="22:25">
      <c r="V70" s="326" t="str">
        <f t="shared" si="5"/>
        <v>00110101</v>
      </c>
      <c r="W70" s="513">
        <v>53</v>
      </c>
      <c r="X70" s="537">
        <f t="shared" si="4"/>
        <v>65483</v>
      </c>
      <c r="Y70" s="99" t="str">
        <f t="shared" si="3"/>
        <v>1111111111001011</v>
      </c>
    </row>
    <row r="71" spans="22:25">
      <c r="V71" s="326" t="str">
        <f t="shared" si="5"/>
        <v>00110110</v>
      </c>
      <c r="W71" s="513">
        <v>54</v>
      </c>
      <c r="X71" s="537">
        <f t="shared" si="4"/>
        <v>65482</v>
      </c>
      <c r="Y71" s="99" t="str">
        <f t="shared" si="3"/>
        <v>1111111111001010</v>
      </c>
    </row>
    <row r="72" spans="22:25">
      <c r="V72" s="326" t="str">
        <f t="shared" si="5"/>
        <v>00110111</v>
      </c>
      <c r="W72" s="513">
        <v>55</v>
      </c>
      <c r="X72" s="537">
        <f t="shared" si="4"/>
        <v>65481</v>
      </c>
      <c r="Y72" s="99" t="str">
        <f t="shared" si="3"/>
        <v>1111111111001001</v>
      </c>
    </row>
    <row r="73" spans="22:25">
      <c r="V73" s="326" t="str">
        <f t="shared" si="5"/>
        <v>00111000</v>
      </c>
      <c r="W73" s="513">
        <v>56</v>
      </c>
      <c r="X73" s="537">
        <f t="shared" si="4"/>
        <v>65480</v>
      </c>
      <c r="Y73" s="99" t="str">
        <f t="shared" si="3"/>
        <v>1111111111001000</v>
      </c>
    </row>
    <row r="74" spans="22:25">
      <c r="V74" s="326" t="str">
        <f t="shared" si="5"/>
        <v>00111001</v>
      </c>
      <c r="W74" s="513">
        <v>57</v>
      </c>
      <c r="X74" s="537">
        <f t="shared" si="4"/>
        <v>65479</v>
      </c>
      <c r="Y74" s="99" t="str">
        <f t="shared" si="3"/>
        <v>1111111111000111</v>
      </c>
    </row>
    <row r="75" spans="22:25">
      <c r="V75" s="326" t="str">
        <f t="shared" si="5"/>
        <v>00111010</v>
      </c>
      <c r="W75" s="513">
        <v>58</v>
      </c>
      <c r="X75" s="537">
        <f t="shared" si="4"/>
        <v>65478</v>
      </c>
      <c r="Y75" s="99" t="str">
        <f t="shared" si="3"/>
        <v>1111111111000110</v>
      </c>
    </row>
    <row r="76" spans="22:25">
      <c r="V76" s="326" t="str">
        <f t="shared" si="5"/>
        <v>00111011</v>
      </c>
      <c r="W76" s="513">
        <v>59</v>
      </c>
      <c r="X76" s="537">
        <f t="shared" si="4"/>
        <v>65477</v>
      </c>
      <c r="Y76" s="99" t="str">
        <f t="shared" si="3"/>
        <v>1111111111000101</v>
      </c>
    </row>
    <row r="77" spans="22:25">
      <c r="V77" s="326" t="str">
        <f t="shared" si="5"/>
        <v>00111100</v>
      </c>
      <c r="W77" s="513">
        <v>60</v>
      </c>
      <c r="X77" s="537">
        <f t="shared" si="4"/>
        <v>65476</v>
      </c>
      <c r="Y77" s="99" t="str">
        <f t="shared" si="3"/>
        <v>1111111111000100</v>
      </c>
    </row>
    <row r="78" spans="22:25">
      <c r="V78" s="326" t="str">
        <f t="shared" si="5"/>
        <v>00111101</v>
      </c>
      <c r="W78" s="513">
        <v>61</v>
      </c>
      <c r="X78" s="537">
        <f t="shared" si="4"/>
        <v>65475</v>
      </c>
      <c r="Y78" s="99" t="str">
        <f t="shared" si="3"/>
        <v>1111111111000011</v>
      </c>
    </row>
    <row r="79" spans="22:25">
      <c r="V79" s="326" t="str">
        <f t="shared" si="5"/>
        <v>00111110</v>
      </c>
      <c r="W79" s="513">
        <v>62</v>
      </c>
      <c r="X79" s="537">
        <f t="shared" si="4"/>
        <v>65474</v>
      </c>
      <c r="Y79" s="99" t="str">
        <f t="shared" si="3"/>
        <v>1111111111000010</v>
      </c>
    </row>
    <row r="80" spans="22:25">
      <c r="V80" s="326" t="str">
        <f t="shared" si="5"/>
        <v>00111111</v>
      </c>
      <c r="W80" s="513">
        <v>63</v>
      </c>
      <c r="X80" s="537">
        <f t="shared" si="4"/>
        <v>65473</v>
      </c>
      <c r="Y80" s="99" t="str">
        <f t="shared" si="3"/>
        <v>1111111111000001</v>
      </c>
    </row>
    <row r="81" spans="22:25">
      <c r="V81" s="326" t="str">
        <f t="shared" si="5"/>
        <v>01000000</v>
      </c>
      <c r="W81" s="513">
        <v>64</v>
      </c>
      <c r="X81" s="537">
        <f t="shared" si="4"/>
        <v>65472</v>
      </c>
      <c r="Y81" s="99" t="str">
        <f t="shared" si="3"/>
        <v>1111111111000000</v>
      </c>
    </row>
    <row r="82" spans="22:25">
      <c r="V82" s="326" t="str">
        <f t="shared" si="5"/>
        <v>01000001</v>
      </c>
      <c r="W82" s="513">
        <v>65</v>
      </c>
      <c r="X82" s="537">
        <f t="shared" si="4"/>
        <v>65471</v>
      </c>
      <c r="Y82" s="99" t="str">
        <f t="shared" si="3"/>
        <v>1111111110111111</v>
      </c>
    </row>
    <row r="83" spans="22:25">
      <c r="V83" s="326" t="str">
        <f t="shared" si="5"/>
        <v>01000010</v>
      </c>
      <c r="W83" s="513">
        <v>66</v>
      </c>
      <c r="X83" s="537">
        <f t="shared" si="4"/>
        <v>65470</v>
      </c>
      <c r="Y83" s="99" t="str">
        <f t="shared" ref="Y83:Y146" si="6">DEC2BIN((X83)/256,8)&amp;DEC2BIN(MOD(X83,256),8)</f>
        <v>1111111110111110</v>
      </c>
    </row>
    <row r="84" spans="22:25">
      <c r="V84" s="326" t="str">
        <f t="shared" si="5"/>
        <v>01000011</v>
      </c>
      <c r="W84" s="513">
        <v>67</v>
      </c>
      <c r="X84" s="537">
        <f t="shared" ref="X84:X147" si="7">65536-W84</f>
        <v>65469</v>
      </c>
      <c r="Y84" s="99" t="str">
        <f t="shared" si="6"/>
        <v>1111111110111101</v>
      </c>
    </row>
    <row r="85" spans="22:25">
      <c r="V85" s="326" t="str">
        <f t="shared" ref="V85:V148" si="8">DEC2BIN(W85,8)</f>
        <v>01000100</v>
      </c>
      <c r="W85" s="513">
        <v>68</v>
      </c>
      <c r="X85" s="537">
        <f t="shared" si="7"/>
        <v>65468</v>
      </c>
      <c r="Y85" s="99" t="str">
        <f t="shared" si="6"/>
        <v>1111111110111100</v>
      </c>
    </row>
    <row r="86" spans="22:25">
      <c r="V86" s="326" t="str">
        <f t="shared" si="8"/>
        <v>01000101</v>
      </c>
      <c r="W86" s="513">
        <v>69</v>
      </c>
      <c r="X86" s="537">
        <f t="shared" si="7"/>
        <v>65467</v>
      </c>
      <c r="Y86" s="99" t="str">
        <f t="shared" si="6"/>
        <v>1111111110111011</v>
      </c>
    </row>
    <row r="87" spans="22:25">
      <c r="V87" s="326" t="str">
        <f t="shared" si="8"/>
        <v>01000110</v>
      </c>
      <c r="W87" s="513">
        <v>70</v>
      </c>
      <c r="X87" s="537">
        <f t="shared" si="7"/>
        <v>65466</v>
      </c>
      <c r="Y87" s="99" t="str">
        <f t="shared" si="6"/>
        <v>1111111110111010</v>
      </c>
    </row>
    <row r="88" spans="22:25">
      <c r="V88" s="326" t="str">
        <f t="shared" si="8"/>
        <v>01000111</v>
      </c>
      <c r="W88" s="513">
        <v>71</v>
      </c>
      <c r="X88" s="537">
        <f t="shared" si="7"/>
        <v>65465</v>
      </c>
      <c r="Y88" s="99" t="str">
        <f t="shared" si="6"/>
        <v>1111111110111001</v>
      </c>
    </row>
    <row r="89" spans="22:25">
      <c r="V89" s="326" t="str">
        <f t="shared" si="8"/>
        <v>01001000</v>
      </c>
      <c r="W89" s="513">
        <v>72</v>
      </c>
      <c r="X89" s="537">
        <f t="shared" si="7"/>
        <v>65464</v>
      </c>
      <c r="Y89" s="99" t="str">
        <f t="shared" si="6"/>
        <v>1111111110111000</v>
      </c>
    </row>
    <row r="90" spans="22:25">
      <c r="V90" s="326" t="str">
        <f t="shared" si="8"/>
        <v>01001001</v>
      </c>
      <c r="W90" s="513">
        <v>73</v>
      </c>
      <c r="X90" s="537">
        <f t="shared" si="7"/>
        <v>65463</v>
      </c>
      <c r="Y90" s="99" t="str">
        <f t="shared" si="6"/>
        <v>1111111110110111</v>
      </c>
    </row>
    <row r="91" spans="22:25">
      <c r="V91" s="326" t="str">
        <f t="shared" si="8"/>
        <v>01001010</v>
      </c>
      <c r="W91" s="513">
        <v>74</v>
      </c>
      <c r="X91" s="537">
        <f t="shared" si="7"/>
        <v>65462</v>
      </c>
      <c r="Y91" s="99" t="str">
        <f t="shared" si="6"/>
        <v>1111111110110110</v>
      </c>
    </row>
    <row r="92" spans="22:25">
      <c r="V92" s="326" t="str">
        <f t="shared" si="8"/>
        <v>01001011</v>
      </c>
      <c r="W92" s="513">
        <v>75</v>
      </c>
      <c r="X92" s="537">
        <f t="shared" si="7"/>
        <v>65461</v>
      </c>
      <c r="Y92" s="99" t="str">
        <f t="shared" si="6"/>
        <v>1111111110110101</v>
      </c>
    </row>
    <row r="93" spans="22:25">
      <c r="V93" s="326" t="str">
        <f t="shared" si="8"/>
        <v>01001100</v>
      </c>
      <c r="W93" s="513">
        <v>76</v>
      </c>
      <c r="X93" s="537">
        <f t="shared" si="7"/>
        <v>65460</v>
      </c>
      <c r="Y93" s="99" t="str">
        <f t="shared" si="6"/>
        <v>1111111110110100</v>
      </c>
    </row>
    <row r="94" spans="22:25">
      <c r="V94" s="326" t="str">
        <f t="shared" si="8"/>
        <v>01001101</v>
      </c>
      <c r="W94" s="513">
        <v>77</v>
      </c>
      <c r="X94" s="537">
        <f t="shared" si="7"/>
        <v>65459</v>
      </c>
      <c r="Y94" s="99" t="str">
        <f t="shared" si="6"/>
        <v>1111111110110011</v>
      </c>
    </row>
    <row r="95" spans="22:25">
      <c r="V95" s="326" t="str">
        <f t="shared" si="8"/>
        <v>01001110</v>
      </c>
      <c r="W95" s="513">
        <v>78</v>
      </c>
      <c r="X95" s="537">
        <f t="shared" si="7"/>
        <v>65458</v>
      </c>
      <c r="Y95" s="99" t="str">
        <f t="shared" si="6"/>
        <v>1111111110110010</v>
      </c>
    </row>
    <row r="96" spans="22:25">
      <c r="V96" s="326" t="str">
        <f t="shared" si="8"/>
        <v>01001111</v>
      </c>
      <c r="W96" s="513">
        <v>79</v>
      </c>
      <c r="X96" s="537">
        <f t="shared" si="7"/>
        <v>65457</v>
      </c>
      <c r="Y96" s="99" t="str">
        <f t="shared" si="6"/>
        <v>1111111110110001</v>
      </c>
    </row>
    <row r="97" spans="22:25">
      <c r="V97" s="326" t="str">
        <f t="shared" si="8"/>
        <v>01010000</v>
      </c>
      <c r="W97" s="513">
        <v>80</v>
      </c>
      <c r="X97" s="537">
        <f t="shared" si="7"/>
        <v>65456</v>
      </c>
      <c r="Y97" s="99" t="str">
        <f t="shared" si="6"/>
        <v>1111111110110000</v>
      </c>
    </row>
    <row r="98" spans="22:25">
      <c r="V98" s="326" t="str">
        <f t="shared" si="8"/>
        <v>01010001</v>
      </c>
      <c r="W98" s="513">
        <v>81</v>
      </c>
      <c r="X98" s="537">
        <f t="shared" si="7"/>
        <v>65455</v>
      </c>
      <c r="Y98" s="99" t="str">
        <f t="shared" si="6"/>
        <v>1111111110101111</v>
      </c>
    </row>
    <row r="99" spans="22:25">
      <c r="V99" s="326" t="str">
        <f t="shared" si="8"/>
        <v>01010010</v>
      </c>
      <c r="W99" s="513">
        <v>82</v>
      </c>
      <c r="X99" s="537">
        <f t="shared" si="7"/>
        <v>65454</v>
      </c>
      <c r="Y99" s="99" t="str">
        <f t="shared" si="6"/>
        <v>1111111110101110</v>
      </c>
    </row>
    <row r="100" spans="22:25">
      <c r="V100" s="326" t="str">
        <f t="shared" si="8"/>
        <v>01010011</v>
      </c>
      <c r="W100" s="513">
        <v>83</v>
      </c>
      <c r="X100" s="537">
        <f t="shared" si="7"/>
        <v>65453</v>
      </c>
      <c r="Y100" s="99" t="str">
        <f t="shared" si="6"/>
        <v>1111111110101101</v>
      </c>
    </row>
    <row r="101" spans="22:25">
      <c r="V101" s="326" t="str">
        <f t="shared" si="8"/>
        <v>01010100</v>
      </c>
      <c r="W101" s="513">
        <v>84</v>
      </c>
      <c r="X101" s="537">
        <f t="shared" si="7"/>
        <v>65452</v>
      </c>
      <c r="Y101" s="99" t="str">
        <f t="shared" si="6"/>
        <v>1111111110101100</v>
      </c>
    </row>
    <row r="102" spans="22:25">
      <c r="V102" s="326" t="str">
        <f t="shared" si="8"/>
        <v>01010101</v>
      </c>
      <c r="W102" s="513">
        <v>85</v>
      </c>
      <c r="X102" s="537">
        <f t="shared" si="7"/>
        <v>65451</v>
      </c>
      <c r="Y102" s="99" t="str">
        <f t="shared" si="6"/>
        <v>1111111110101011</v>
      </c>
    </row>
    <row r="103" spans="22:25">
      <c r="V103" s="326" t="str">
        <f t="shared" si="8"/>
        <v>01010110</v>
      </c>
      <c r="W103" s="513">
        <v>86</v>
      </c>
      <c r="X103" s="537">
        <f t="shared" si="7"/>
        <v>65450</v>
      </c>
      <c r="Y103" s="99" t="str">
        <f t="shared" si="6"/>
        <v>1111111110101010</v>
      </c>
    </row>
    <row r="104" spans="22:25">
      <c r="V104" s="326" t="str">
        <f t="shared" si="8"/>
        <v>01010111</v>
      </c>
      <c r="W104" s="513">
        <v>87</v>
      </c>
      <c r="X104" s="537">
        <f t="shared" si="7"/>
        <v>65449</v>
      </c>
      <c r="Y104" s="99" t="str">
        <f t="shared" si="6"/>
        <v>1111111110101001</v>
      </c>
    </row>
    <row r="105" spans="22:25">
      <c r="V105" s="326" t="str">
        <f t="shared" si="8"/>
        <v>01011000</v>
      </c>
      <c r="W105" s="513">
        <v>88</v>
      </c>
      <c r="X105" s="537">
        <f t="shared" si="7"/>
        <v>65448</v>
      </c>
      <c r="Y105" s="99" t="str">
        <f t="shared" si="6"/>
        <v>1111111110101000</v>
      </c>
    </row>
    <row r="106" spans="22:25">
      <c r="V106" s="326" t="str">
        <f t="shared" si="8"/>
        <v>01011001</v>
      </c>
      <c r="W106" s="513">
        <v>89</v>
      </c>
      <c r="X106" s="537">
        <f t="shared" si="7"/>
        <v>65447</v>
      </c>
      <c r="Y106" s="99" t="str">
        <f t="shared" si="6"/>
        <v>1111111110100111</v>
      </c>
    </row>
    <row r="107" spans="22:25">
      <c r="V107" s="326" t="str">
        <f t="shared" si="8"/>
        <v>01011010</v>
      </c>
      <c r="W107" s="513">
        <v>90</v>
      </c>
      <c r="X107" s="537">
        <f t="shared" si="7"/>
        <v>65446</v>
      </c>
      <c r="Y107" s="99" t="str">
        <f t="shared" si="6"/>
        <v>1111111110100110</v>
      </c>
    </row>
    <row r="108" spans="22:25">
      <c r="V108" s="326" t="str">
        <f t="shared" si="8"/>
        <v>01011011</v>
      </c>
      <c r="W108" s="513">
        <v>91</v>
      </c>
      <c r="X108" s="537">
        <f t="shared" si="7"/>
        <v>65445</v>
      </c>
      <c r="Y108" s="99" t="str">
        <f t="shared" si="6"/>
        <v>1111111110100101</v>
      </c>
    </row>
    <row r="109" spans="22:25">
      <c r="V109" s="326" t="str">
        <f t="shared" si="8"/>
        <v>01011100</v>
      </c>
      <c r="W109" s="513">
        <v>92</v>
      </c>
      <c r="X109" s="537">
        <f t="shared" si="7"/>
        <v>65444</v>
      </c>
      <c r="Y109" s="99" t="str">
        <f t="shared" si="6"/>
        <v>1111111110100100</v>
      </c>
    </row>
    <row r="110" spans="22:25">
      <c r="V110" s="326" t="str">
        <f t="shared" si="8"/>
        <v>01011101</v>
      </c>
      <c r="W110" s="513">
        <v>93</v>
      </c>
      <c r="X110" s="537">
        <f t="shared" si="7"/>
        <v>65443</v>
      </c>
      <c r="Y110" s="99" t="str">
        <f t="shared" si="6"/>
        <v>1111111110100011</v>
      </c>
    </row>
    <row r="111" spans="22:25">
      <c r="V111" s="326" t="str">
        <f t="shared" si="8"/>
        <v>01011110</v>
      </c>
      <c r="W111" s="513">
        <v>94</v>
      </c>
      <c r="X111" s="537">
        <f t="shared" si="7"/>
        <v>65442</v>
      </c>
      <c r="Y111" s="99" t="str">
        <f t="shared" si="6"/>
        <v>1111111110100010</v>
      </c>
    </row>
    <row r="112" spans="22:25">
      <c r="V112" s="326" t="str">
        <f t="shared" si="8"/>
        <v>01011111</v>
      </c>
      <c r="W112" s="513">
        <v>95</v>
      </c>
      <c r="X112" s="537">
        <f t="shared" si="7"/>
        <v>65441</v>
      </c>
      <c r="Y112" s="99" t="str">
        <f t="shared" si="6"/>
        <v>1111111110100001</v>
      </c>
    </row>
    <row r="113" spans="22:25">
      <c r="V113" s="326" t="str">
        <f t="shared" si="8"/>
        <v>01100000</v>
      </c>
      <c r="W113" s="513">
        <v>96</v>
      </c>
      <c r="X113" s="537">
        <f t="shared" si="7"/>
        <v>65440</v>
      </c>
      <c r="Y113" s="99" t="str">
        <f t="shared" si="6"/>
        <v>1111111110100000</v>
      </c>
    </row>
    <row r="114" spans="22:25">
      <c r="V114" s="326" t="str">
        <f t="shared" si="8"/>
        <v>01100001</v>
      </c>
      <c r="W114" s="513">
        <v>97</v>
      </c>
      <c r="X114" s="537">
        <f t="shared" si="7"/>
        <v>65439</v>
      </c>
      <c r="Y114" s="99" t="str">
        <f t="shared" si="6"/>
        <v>1111111110011111</v>
      </c>
    </row>
    <row r="115" spans="22:25">
      <c r="V115" s="326" t="str">
        <f t="shared" si="8"/>
        <v>01100010</v>
      </c>
      <c r="W115" s="513">
        <v>98</v>
      </c>
      <c r="X115" s="537">
        <f t="shared" si="7"/>
        <v>65438</v>
      </c>
      <c r="Y115" s="99" t="str">
        <f t="shared" si="6"/>
        <v>1111111110011110</v>
      </c>
    </row>
    <row r="116" spans="22:25">
      <c r="V116" s="326" t="str">
        <f t="shared" si="8"/>
        <v>01100011</v>
      </c>
      <c r="W116" s="513">
        <v>99</v>
      </c>
      <c r="X116" s="537">
        <f t="shared" si="7"/>
        <v>65437</v>
      </c>
      <c r="Y116" s="99" t="str">
        <f t="shared" si="6"/>
        <v>1111111110011101</v>
      </c>
    </row>
    <row r="117" spans="22:25">
      <c r="V117" s="326" t="str">
        <f t="shared" si="8"/>
        <v>01100100</v>
      </c>
      <c r="W117" s="513">
        <v>100</v>
      </c>
      <c r="X117" s="537">
        <f t="shared" si="7"/>
        <v>65436</v>
      </c>
      <c r="Y117" s="99" t="str">
        <f t="shared" si="6"/>
        <v>1111111110011100</v>
      </c>
    </row>
    <row r="118" spans="22:25">
      <c r="V118" s="326" t="str">
        <f t="shared" si="8"/>
        <v>01100101</v>
      </c>
      <c r="W118" s="513">
        <v>101</v>
      </c>
      <c r="X118" s="537">
        <f t="shared" si="7"/>
        <v>65435</v>
      </c>
      <c r="Y118" s="99" t="str">
        <f t="shared" si="6"/>
        <v>1111111110011011</v>
      </c>
    </row>
    <row r="119" spans="22:25">
      <c r="V119" s="326" t="str">
        <f t="shared" si="8"/>
        <v>01100110</v>
      </c>
      <c r="W119" s="513">
        <v>102</v>
      </c>
      <c r="X119" s="537">
        <f t="shared" si="7"/>
        <v>65434</v>
      </c>
      <c r="Y119" s="99" t="str">
        <f t="shared" si="6"/>
        <v>1111111110011010</v>
      </c>
    </row>
    <row r="120" spans="22:25">
      <c r="V120" s="326" t="str">
        <f t="shared" si="8"/>
        <v>01100111</v>
      </c>
      <c r="W120" s="513">
        <v>103</v>
      </c>
      <c r="X120" s="537">
        <f t="shared" si="7"/>
        <v>65433</v>
      </c>
      <c r="Y120" s="99" t="str">
        <f t="shared" si="6"/>
        <v>1111111110011001</v>
      </c>
    </row>
    <row r="121" spans="22:25">
      <c r="V121" s="326" t="str">
        <f t="shared" si="8"/>
        <v>01101000</v>
      </c>
      <c r="W121" s="513">
        <v>104</v>
      </c>
      <c r="X121" s="537">
        <f t="shared" si="7"/>
        <v>65432</v>
      </c>
      <c r="Y121" s="99" t="str">
        <f t="shared" si="6"/>
        <v>1111111110011000</v>
      </c>
    </row>
    <row r="122" spans="22:25">
      <c r="V122" s="326" t="str">
        <f t="shared" si="8"/>
        <v>01101001</v>
      </c>
      <c r="W122" s="513">
        <v>105</v>
      </c>
      <c r="X122" s="537">
        <f t="shared" si="7"/>
        <v>65431</v>
      </c>
      <c r="Y122" s="99" t="str">
        <f t="shared" si="6"/>
        <v>1111111110010111</v>
      </c>
    </row>
    <row r="123" spans="22:25">
      <c r="V123" s="326" t="str">
        <f t="shared" si="8"/>
        <v>01101010</v>
      </c>
      <c r="W123" s="513">
        <v>106</v>
      </c>
      <c r="X123" s="537">
        <f t="shared" si="7"/>
        <v>65430</v>
      </c>
      <c r="Y123" s="99" t="str">
        <f t="shared" si="6"/>
        <v>1111111110010110</v>
      </c>
    </row>
    <row r="124" spans="22:25">
      <c r="V124" s="326" t="str">
        <f t="shared" si="8"/>
        <v>01101011</v>
      </c>
      <c r="W124" s="513">
        <v>107</v>
      </c>
      <c r="X124" s="537">
        <f t="shared" si="7"/>
        <v>65429</v>
      </c>
      <c r="Y124" s="99" t="str">
        <f t="shared" si="6"/>
        <v>1111111110010101</v>
      </c>
    </row>
    <row r="125" spans="22:25">
      <c r="V125" s="326" t="str">
        <f t="shared" si="8"/>
        <v>01101100</v>
      </c>
      <c r="W125" s="513">
        <v>108</v>
      </c>
      <c r="X125" s="537">
        <f t="shared" si="7"/>
        <v>65428</v>
      </c>
      <c r="Y125" s="99" t="str">
        <f t="shared" si="6"/>
        <v>1111111110010100</v>
      </c>
    </row>
    <row r="126" spans="22:25">
      <c r="V126" s="326" t="str">
        <f t="shared" si="8"/>
        <v>01101101</v>
      </c>
      <c r="W126" s="513">
        <v>109</v>
      </c>
      <c r="X126" s="537">
        <f t="shared" si="7"/>
        <v>65427</v>
      </c>
      <c r="Y126" s="99" t="str">
        <f t="shared" si="6"/>
        <v>1111111110010011</v>
      </c>
    </row>
    <row r="127" spans="22:25">
      <c r="V127" s="326" t="str">
        <f t="shared" si="8"/>
        <v>01101110</v>
      </c>
      <c r="W127" s="513">
        <v>110</v>
      </c>
      <c r="X127" s="537">
        <f t="shared" si="7"/>
        <v>65426</v>
      </c>
      <c r="Y127" s="99" t="str">
        <f t="shared" si="6"/>
        <v>1111111110010010</v>
      </c>
    </row>
    <row r="128" spans="22:25">
      <c r="V128" s="326" t="str">
        <f t="shared" si="8"/>
        <v>01101111</v>
      </c>
      <c r="W128" s="513">
        <v>111</v>
      </c>
      <c r="X128" s="537">
        <f t="shared" si="7"/>
        <v>65425</v>
      </c>
      <c r="Y128" s="99" t="str">
        <f t="shared" si="6"/>
        <v>1111111110010001</v>
      </c>
    </row>
    <row r="129" spans="22:25">
      <c r="V129" s="326" t="str">
        <f t="shared" si="8"/>
        <v>01110000</v>
      </c>
      <c r="W129" s="513">
        <v>112</v>
      </c>
      <c r="X129" s="537">
        <f t="shared" si="7"/>
        <v>65424</v>
      </c>
      <c r="Y129" s="99" t="str">
        <f t="shared" si="6"/>
        <v>1111111110010000</v>
      </c>
    </row>
    <row r="130" spans="22:25">
      <c r="V130" s="326" t="str">
        <f t="shared" si="8"/>
        <v>01110001</v>
      </c>
      <c r="W130" s="513">
        <v>113</v>
      </c>
      <c r="X130" s="537">
        <f t="shared" si="7"/>
        <v>65423</v>
      </c>
      <c r="Y130" s="99" t="str">
        <f t="shared" si="6"/>
        <v>1111111110001111</v>
      </c>
    </row>
    <row r="131" spans="22:25">
      <c r="V131" s="326" t="str">
        <f t="shared" si="8"/>
        <v>01110010</v>
      </c>
      <c r="W131" s="513">
        <v>114</v>
      </c>
      <c r="X131" s="537">
        <f t="shared" si="7"/>
        <v>65422</v>
      </c>
      <c r="Y131" s="99" t="str">
        <f t="shared" si="6"/>
        <v>1111111110001110</v>
      </c>
    </row>
    <row r="132" spans="22:25">
      <c r="V132" s="326" t="str">
        <f t="shared" si="8"/>
        <v>01110011</v>
      </c>
      <c r="W132" s="513">
        <v>115</v>
      </c>
      <c r="X132" s="537">
        <f t="shared" si="7"/>
        <v>65421</v>
      </c>
      <c r="Y132" s="99" t="str">
        <f t="shared" si="6"/>
        <v>1111111110001101</v>
      </c>
    </row>
    <row r="133" spans="22:25">
      <c r="V133" s="326" t="str">
        <f t="shared" si="8"/>
        <v>01110100</v>
      </c>
      <c r="W133" s="513">
        <v>116</v>
      </c>
      <c r="X133" s="537">
        <f t="shared" si="7"/>
        <v>65420</v>
      </c>
      <c r="Y133" s="99" t="str">
        <f t="shared" si="6"/>
        <v>1111111110001100</v>
      </c>
    </row>
    <row r="134" spans="22:25">
      <c r="V134" s="326" t="str">
        <f t="shared" si="8"/>
        <v>01110101</v>
      </c>
      <c r="W134" s="513">
        <v>117</v>
      </c>
      <c r="X134" s="537">
        <f t="shared" si="7"/>
        <v>65419</v>
      </c>
      <c r="Y134" s="99" t="str">
        <f t="shared" si="6"/>
        <v>1111111110001011</v>
      </c>
    </row>
    <row r="135" spans="22:25">
      <c r="V135" s="326" t="str">
        <f t="shared" si="8"/>
        <v>01110110</v>
      </c>
      <c r="W135" s="513">
        <v>118</v>
      </c>
      <c r="X135" s="537">
        <f t="shared" si="7"/>
        <v>65418</v>
      </c>
      <c r="Y135" s="99" t="str">
        <f t="shared" si="6"/>
        <v>1111111110001010</v>
      </c>
    </row>
    <row r="136" spans="22:25">
      <c r="V136" s="326" t="str">
        <f t="shared" si="8"/>
        <v>01110111</v>
      </c>
      <c r="W136" s="513">
        <v>119</v>
      </c>
      <c r="X136" s="537">
        <f t="shared" si="7"/>
        <v>65417</v>
      </c>
      <c r="Y136" s="99" t="str">
        <f t="shared" si="6"/>
        <v>1111111110001001</v>
      </c>
    </row>
    <row r="137" spans="22:25">
      <c r="V137" s="326" t="str">
        <f t="shared" si="8"/>
        <v>01111000</v>
      </c>
      <c r="W137" s="513">
        <v>120</v>
      </c>
      <c r="X137" s="537">
        <f t="shared" si="7"/>
        <v>65416</v>
      </c>
      <c r="Y137" s="99" t="str">
        <f t="shared" si="6"/>
        <v>1111111110001000</v>
      </c>
    </row>
    <row r="138" spans="22:25">
      <c r="V138" s="326" t="str">
        <f t="shared" si="8"/>
        <v>01111001</v>
      </c>
      <c r="W138" s="513">
        <v>121</v>
      </c>
      <c r="X138" s="537">
        <f t="shared" si="7"/>
        <v>65415</v>
      </c>
      <c r="Y138" s="99" t="str">
        <f t="shared" si="6"/>
        <v>1111111110000111</v>
      </c>
    </row>
    <row r="139" spans="22:25">
      <c r="V139" s="326" t="str">
        <f t="shared" si="8"/>
        <v>01111010</v>
      </c>
      <c r="W139" s="513">
        <v>122</v>
      </c>
      <c r="X139" s="537">
        <f t="shared" si="7"/>
        <v>65414</v>
      </c>
      <c r="Y139" s="99" t="str">
        <f t="shared" si="6"/>
        <v>1111111110000110</v>
      </c>
    </row>
    <row r="140" spans="22:25">
      <c r="V140" s="326" t="str">
        <f t="shared" si="8"/>
        <v>01111011</v>
      </c>
      <c r="W140" s="513">
        <v>123</v>
      </c>
      <c r="X140" s="537">
        <f t="shared" si="7"/>
        <v>65413</v>
      </c>
      <c r="Y140" s="99" t="str">
        <f t="shared" si="6"/>
        <v>1111111110000101</v>
      </c>
    </row>
    <row r="141" spans="22:25">
      <c r="V141" s="326" t="str">
        <f t="shared" si="8"/>
        <v>01111100</v>
      </c>
      <c r="W141" s="513">
        <v>124</v>
      </c>
      <c r="X141" s="537">
        <f t="shared" si="7"/>
        <v>65412</v>
      </c>
      <c r="Y141" s="99" t="str">
        <f t="shared" si="6"/>
        <v>1111111110000100</v>
      </c>
    </row>
    <row r="142" spans="22:25">
      <c r="V142" s="326" t="str">
        <f t="shared" si="8"/>
        <v>01111101</v>
      </c>
      <c r="W142" s="513">
        <v>125</v>
      </c>
      <c r="X142" s="537">
        <f t="shared" si="7"/>
        <v>65411</v>
      </c>
      <c r="Y142" s="99" t="str">
        <f t="shared" si="6"/>
        <v>1111111110000011</v>
      </c>
    </row>
    <row r="143" spans="22:25">
      <c r="V143" s="326" t="str">
        <f t="shared" si="8"/>
        <v>01111110</v>
      </c>
      <c r="W143" s="513">
        <v>126</v>
      </c>
      <c r="X143" s="537">
        <f t="shared" si="7"/>
        <v>65410</v>
      </c>
      <c r="Y143" s="99" t="str">
        <f t="shared" si="6"/>
        <v>1111111110000010</v>
      </c>
    </row>
    <row r="144" spans="22:25">
      <c r="V144" s="326" t="str">
        <f t="shared" si="8"/>
        <v>01111111</v>
      </c>
      <c r="W144" s="513">
        <v>127</v>
      </c>
      <c r="X144" s="537">
        <f t="shared" si="7"/>
        <v>65409</v>
      </c>
      <c r="Y144" s="99" t="str">
        <f t="shared" si="6"/>
        <v>1111111110000001</v>
      </c>
    </row>
    <row r="145" spans="22:25">
      <c r="V145" s="326" t="str">
        <f t="shared" si="8"/>
        <v>10000000</v>
      </c>
      <c r="W145" s="513">
        <v>128</v>
      </c>
      <c r="X145" s="537">
        <f t="shared" si="7"/>
        <v>65408</v>
      </c>
      <c r="Y145" s="99" t="str">
        <f t="shared" si="6"/>
        <v>1111111110000000</v>
      </c>
    </row>
    <row r="146" spans="22:25">
      <c r="V146" s="326" t="str">
        <f t="shared" si="8"/>
        <v>10000001</v>
      </c>
      <c r="W146" s="513">
        <v>129</v>
      </c>
      <c r="X146" s="537">
        <f t="shared" si="7"/>
        <v>65407</v>
      </c>
      <c r="Y146" s="99" t="str">
        <f t="shared" si="6"/>
        <v>1111111101111111</v>
      </c>
    </row>
    <row r="147" spans="22:25">
      <c r="V147" s="326" t="str">
        <f t="shared" si="8"/>
        <v>10000010</v>
      </c>
      <c r="W147" s="513">
        <v>130</v>
      </c>
      <c r="X147" s="537">
        <f t="shared" si="7"/>
        <v>65406</v>
      </c>
      <c r="Y147" s="99" t="str">
        <f t="shared" ref="Y147:Y210" si="9">DEC2BIN((X147)/256,8)&amp;DEC2BIN(MOD(X147,256),8)</f>
        <v>1111111101111110</v>
      </c>
    </row>
    <row r="148" spans="22:25">
      <c r="V148" s="326" t="str">
        <f t="shared" si="8"/>
        <v>10000011</v>
      </c>
      <c r="W148" s="513">
        <v>131</v>
      </c>
      <c r="X148" s="537">
        <f t="shared" ref="X148:X211" si="10">65536-W148</f>
        <v>65405</v>
      </c>
      <c r="Y148" s="99" t="str">
        <f t="shared" si="9"/>
        <v>1111111101111101</v>
      </c>
    </row>
    <row r="149" spans="22:25">
      <c r="V149" s="326" t="str">
        <f t="shared" ref="V149:V212" si="11">DEC2BIN(W149,8)</f>
        <v>10000100</v>
      </c>
      <c r="W149" s="513">
        <v>132</v>
      </c>
      <c r="X149" s="537">
        <f t="shared" si="10"/>
        <v>65404</v>
      </c>
      <c r="Y149" s="99" t="str">
        <f t="shared" si="9"/>
        <v>1111111101111100</v>
      </c>
    </row>
    <row r="150" spans="22:25">
      <c r="V150" s="326" t="str">
        <f t="shared" si="11"/>
        <v>10000101</v>
      </c>
      <c r="W150" s="513">
        <v>133</v>
      </c>
      <c r="X150" s="537">
        <f t="shared" si="10"/>
        <v>65403</v>
      </c>
      <c r="Y150" s="99" t="str">
        <f t="shared" si="9"/>
        <v>1111111101111011</v>
      </c>
    </row>
    <row r="151" spans="22:25">
      <c r="V151" s="326" t="str">
        <f t="shared" si="11"/>
        <v>10000110</v>
      </c>
      <c r="W151" s="513">
        <v>134</v>
      </c>
      <c r="X151" s="537">
        <f t="shared" si="10"/>
        <v>65402</v>
      </c>
      <c r="Y151" s="99" t="str">
        <f t="shared" si="9"/>
        <v>1111111101111010</v>
      </c>
    </row>
    <row r="152" spans="22:25">
      <c r="V152" s="326" t="str">
        <f t="shared" si="11"/>
        <v>10000111</v>
      </c>
      <c r="W152" s="513">
        <v>135</v>
      </c>
      <c r="X152" s="537">
        <f t="shared" si="10"/>
        <v>65401</v>
      </c>
      <c r="Y152" s="99" t="str">
        <f t="shared" si="9"/>
        <v>1111111101111001</v>
      </c>
    </row>
    <row r="153" spans="22:25">
      <c r="V153" s="326" t="str">
        <f t="shared" si="11"/>
        <v>10001000</v>
      </c>
      <c r="W153" s="513">
        <v>136</v>
      </c>
      <c r="X153" s="537">
        <f t="shared" si="10"/>
        <v>65400</v>
      </c>
      <c r="Y153" s="99" t="str">
        <f t="shared" si="9"/>
        <v>1111111101111000</v>
      </c>
    </row>
    <row r="154" spans="22:25">
      <c r="V154" s="326" t="str">
        <f t="shared" si="11"/>
        <v>10001001</v>
      </c>
      <c r="W154" s="513">
        <v>137</v>
      </c>
      <c r="X154" s="537">
        <f t="shared" si="10"/>
        <v>65399</v>
      </c>
      <c r="Y154" s="99" t="str">
        <f t="shared" si="9"/>
        <v>1111111101110111</v>
      </c>
    </row>
    <row r="155" spans="22:25">
      <c r="V155" s="326" t="str">
        <f t="shared" si="11"/>
        <v>10001010</v>
      </c>
      <c r="W155" s="513">
        <v>138</v>
      </c>
      <c r="X155" s="537">
        <f t="shared" si="10"/>
        <v>65398</v>
      </c>
      <c r="Y155" s="99" t="str">
        <f t="shared" si="9"/>
        <v>1111111101110110</v>
      </c>
    </row>
    <row r="156" spans="22:25">
      <c r="V156" s="326" t="str">
        <f t="shared" si="11"/>
        <v>10001011</v>
      </c>
      <c r="W156" s="513">
        <v>139</v>
      </c>
      <c r="X156" s="537">
        <f t="shared" si="10"/>
        <v>65397</v>
      </c>
      <c r="Y156" s="99" t="str">
        <f t="shared" si="9"/>
        <v>1111111101110101</v>
      </c>
    </row>
    <row r="157" spans="22:25">
      <c r="V157" s="326" t="str">
        <f t="shared" si="11"/>
        <v>10001100</v>
      </c>
      <c r="W157" s="513">
        <v>140</v>
      </c>
      <c r="X157" s="537">
        <f t="shared" si="10"/>
        <v>65396</v>
      </c>
      <c r="Y157" s="99" t="str">
        <f t="shared" si="9"/>
        <v>1111111101110100</v>
      </c>
    </row>
    <row r="158" spans="22:25">
      <c r="V158" s="326" t="str">
        <f t="shared" si="11"/>
        <v>10001101</v>
      </c>
      <c r="W158" s="513">
        <v>141</v>
      </c>
      <c r="X158" s="537">
        <f t="shared" si="10"/>
        <v>65395</v>
      </c>
      <c r="Y158" s="99" t="str">
        <f t="shared" si="9"/>
        <v>1111111101110011</v>
      </c>
    </row>
    <row r="159" spans="22:25">
      <c r="V159" s="326" t="str">
        <f t="shared" si="11"/>
        <v>10001110</v>
      </c>
      <c r="W159" s="513">
        <v>142</v>
      </c>
      <c r="X159" s="537">
        <f t="shared" si="10"/>
        <v>65394</v>
      </c>
      <c r="Y159" s="99" t="str">
        <f t="shared" si="9"/>
        <v>1111111101110010</v>
      </c>
    </row>
    <row r="160" spans="22:25">
      <c r="V160" s="326" t="str">
        <f t="shared" si="11"/>
        <v>10001111</v>
      </c>
      <c r="W160" s="513">
        <v>143</v>
      </c>
      <c r="X160" s="537">
        <f t="shared" si="10"/>
        <v>65393</v>
      </c>
      <c r="Y160" s="99" t="str">
        <f t="shared" si="9"/>
        <v>1111111101110001</v>
      </c>
    </row>
    <row r="161" spans="18:25">
      <c r="V161" s="326" t="str">
        <f t="shared" si="11"/>
        <v>10010000</v>
      </c>
      <c r="W161" s="513">
        <v>144</v>
      </c>
      <c r="X161" s="537">
        <f t="shared" si="10"/>
        <v>65392</v>
      </c>
      <c r="Y161" s="99" t="str">
        <f t="shared" si="9"/>
        <v>1111111101110000</v>
      </c>
    </row>
    <row r="162" spans="18:25">
      <c r="V162" s="326" t="str">
        <f t="shared" si="11"/>
        <v>10010001</v>
      </c>
      <c r="W162" s="513">
        <v>145</v>
      </c>
      <c r="X162" s="537">
        <f t="shared" si="10"/>
        <v>65391</v>
      </c>
      <c r="Y162" s="99" t="str">
        <f t="shared" si="9"/>
        <v>1111111101101111</v>
      </c>
    </row>
    <row r="163" spans="18:25">
      <c r="V163" s="326" t="str">
        <f t="shared" si="11"/>
        <v>10010010</v>
      </c>
      <c r="W163" s="513">
        <v>146</v>
      </c>
      <c r="X163" s="537">
        <f t="shared" si="10"/>
        <v>65390</v>
      </c>
      <c r="Y163" s="99" t="str">
        <f t="shared" si="9"/>
        <v>1111111101101110</v>
      </c>
    </row>
    <row r="164" spans="18:25">
      <c r="V164" s="326" t="str">
        <f t="shared" si="11"/>
        <v>10010011</v>
      </c>
      <c r="W164" s="513">
        <v>147</v>
      </c>
      <c r="X164" s="537">
        <f t="shared" si="10"/>
        <v>65389</v>
      </c>
      <c r="Y164" s="99" t="str">
        <f t="shared" si="9"/>
        <v>1111111101101101</v>
      </c>
    </row>
    <row r="165" spans="18:25">
      <c r="V165" s="326" t="str">
        <f t="shared" si="11"/>
        <v>10010100</v>
      </c>
      <c r="W165" s="513">
        <v>148</v>
      </c>
      <c r="X165" s="537">
        <f t="shared" si="10"/>
        <v>65388</v>
      </c>
      <c r="Y165" s="99" t="str">
        <f t="shared" si="9"/>
        <v>1111111101101100</v>
      </c>
    </row>
    <row r="166" spans="18:25">
      <c r="V166" s="326" t="str">
        <f t="shared" si="11"/>
        <v>10010101</v>
      </c>
      <c r="W166" s="513">
        <v>149</v>
      </c>
      <c r="X166" s="537">
        <f t="shared" si="10"/>
        <v>65387</v>
      </c>
      <c r="Y166" s="99" t="str">
        <f t="shared" si="9"/>
        <v>1111111101101011</v>
      </c>
    </row>
    <row r="167" spans="18:25" ht="15.75">
      <c r="R167" s="631" t="s">
        <v>439</v>
      </c>
      <c r="V167" s="326" t="str">
        <f t="shared" si="11"/>
        <v>10010110</v>
      </c>
      <c r="W167" s="513">
        <v>150</v>
      </c>
      <c r="X167" s="537">
        <f t="shared" si="10"/>
        <v>65386</v>
      </c>
      <c r="Y167" s="99" t="str">
        <f t="shared" si="9"/>
        <v>1111111101101010</v>
      </c>
    </row>
    <row r="168" spans="18:25">
      <c r="V168" s="326" t="str">
        <f t="shared" si="11"/>
        <v>10010111</v>
      </c>
      <c r="W168" s="513">
        <v>151</v>
      </c>
      <c r="X168" s="537">
        <f t="shared" si="10"/>
        <v>65385</v>
      </c>
      <c r="Y168" s="99" t="str">
        <f t="shared" si="9"/>
        <v>1111111101101001</v>
      </c>
    </row>
    <row r="169" spans="18:25">
      <c r="V169" s="326" t="str">
        <f t="shared" si="11"/>
        <v>10011000</v>
      </c>
      <c r="W169" s="513">
        <v>152</v>
      </c>
      <c r="X169" s="537">
        <f t="shared" si="10"/>
        <v>65384</v>
      </c>
      <c r="Y169" s="99" t="str">
        <f t="shared" si="9"/>
        <v>1111111101101000</v>
      </c>
    </row>
    <row r="170" spans="18:25">
      <c r="V170" s="326" t="str">
        <f t="shared" si="11"/>
        <v>10011001</v>
      </c>
      <c r="W170" s="513">
        <v>153</v>
      </c>
      <c r="X170" s="537">
        <f t="shared" si="10"/>
        <v>65383</v>
      </c>
      <c r="Y170" s="99" t="str">
        <f t="shared" si="9"/>
        <v>1111111101100111</v>
      </c>
    </row>
    <row r="171" spans="18:25">
      <c r="V171" s="326" t="str">
        <f t="shared" si="11"/>
        <v>10011010</v>
      </c>
      <c r="W171" s="513">
        <v>154</v>
      </c>
      <c r="X171" s="537">
        <f t="shared" si="10"/>
        <v>65382</v>
      </c>
      <c r="Y171" s="99" t="str">
        <f t="shared" si="9"/>
        <v>1111111101100110</v>
      </c>
    </row>
    <row r="172" spans="18:25">
      <c r="V172" s="326" t="str">
        <f t="shared" si="11"/>
        <v>10011011</v>
      </c>
      <c r="W172" s="513">
        <v>155</v>
      </c>
      <c r="X172" s="537">
        <f t="shared" si="10"/>
        <v>65381</v>
      </c>
      <c r="Y172" s="99" t="str">
        <f t="shared" si="9"/>
        <v>1111111101100101</v>
      </c>
    </row>
    <row r="173" spans="18:25">
      <c r="V173" s="326" t="str">
        <f t="shared" si="11"/>
        <v>10011100</v>
      </c>
      <c r="W173" s="513">
        <v>156</v>
      </c>
      <c r="X173" s="537">
        <f t="shared" si="10"/>
        <v>65380</v>
      </c>
      <c r="Y173" s="99" t="str">
        <f t="shared" si="9"/>
        <v>1111111101100100</v>
      </c>
    </row>
    <row r="174" spans="18:25">
      <c r="V174" s="326" t="str">
        <f t="shared" si="11"/>
        <v>10011101</v>
      </c>
      <c r="W174" s="513">
        <v>157</v>
      </c>
      <c r="X174" s="537">
        <f t="shared" si="10"/>
        <v>65379</v>
      </c>
      <c r="Y174" s="99" t="str">
        <f t="shared" si="9"/>
        <v>1111111101100011</v>
      </c>
    </row>
    <row r="175" spans="18:25">
      <c r="V175" s="326" t="str">
        <f t="shared" si="11"/>
        <v>10011110</v>
      </c>
      <c r="W175" s="513">
        <v>158</v>
      </c>
      <c r="X175" s="537">
        <f t="shared" si="10"/>
        <v>65378</v>
      </c>
      <c r="Y175" s="99" t="str">
        <f t="shared" si="9"/>
        <v>1111111101100010</v>
      </c>
    </row>
    <row r="176" spans="18:25">
      <c r="V176" s="326" t="str">
        <f t="shared" si="11"/>
        <v>10011111</v>
      </c>
      <c r="W176" s="513">
        <v>159</v>
      </c>
      <c r="X176" s="537">
        <f t="shared" si="10"/>
        <v>65377</v>
      </c>
      <c r="Y176" s="99" t="str">
        <f t="shared" si="9"/>
        <v>1111111101100001</v>
      </c>
    </row>
    <row r="177" spans="22:25">
      <c r="V177" s="326" t="str">
        <f t="shared" si="11"/>
        <v>10100000</v>
      </c>
      <c r="W177" s="513">
        <v>160</v>
      </c>
      <c r="X177" s="537">
        <f t="shared" si="10"/>
        <v>65376</v>
      </c>
      <c r="Y177" s="99" t="str">
        <f t="shared" si="9"/>
        <v>1111111101100000</v>
      </c>
    </row>
    <row r="178" spans="22:25">
      <c r="V178" s="326" t="str">
        <f t="shared" si="11"/>
        <v>10100001</v>
      </c>
      <c r="W178" s="513">
        <v>161</v>
      </c>
      <c r="X178" s="537">
        <f t="shared" si="10"/>
        <v>65375</v>
      </c>
      <c r="Y178" s="99" t="str">
        <f t="shared" si="9"/>
        <v>1111111101011111</v>
      </c>
    </row>
    <row r="179" spans="22:25">
      <c r="V179" s="326" t="str">
        <f t="shared" si="11"/>
        <v>10100010</v>
      </c>
      <c r="W179" s="513">
        <v>162</v>
      </c>
      <c r="X179" s="537">
        <f t="shared" si="10"/>
        <v>65374</v>
      </c>
      <c r="Y179" s="99" t="str">
        <f t="shared" si="9"/>
        <v>1111111101011110</v>
      </c>
    </row>
    <row r="180" spans="22:25">
      <c r="V180" s="326" t="str">
        <f t="shared" si="11"/>
        <v>10100011</v>
      </c>
      <c r="W180" s="513">
        <v>163</v>
      </c>
      <c r="X180" s="537">
        <f t="shared" si="10"/>
        <v>65373</v>
      </c>
      <c r="Y180" s="99" t="str">
        <f t="shared" si="9"/>
        <v>1111111101011101</v>
      </c>
    </row>
    <row r="181" spans="22:25">
      <c r="V181" s="326" t="str">
        <f t="shared" si="11"/>
        <v>10100100</v>
      </c>
      <c r="W181" s="513">
        <v>164</v>
      </c>
      <c r="X181" s="537">
        <f t="shared" si="10"/>
        <v>65372</v>
      </c>
      <c r="Y181" s="99" t="str">
        <f t="shared" si="9"/>
        <v>1111111101011100</v>
      </c>
    </row>
    <row r="182" spans="22:25">
      <c r="V182" s="326" t="str">
        <f t="shared" si="11"/>
        <v>10100101</v>
      </c>
      <c r="W182" s="513">
        <v>165</v>
      </c>
      <c r="X182" s="537">
        <f t="shared" si="10"/>
        <v>65371</v>
      </c>
      <c r="Y182" s="99" t="str">
        <f t="shared" si="9"/>
        <v>1111111101011011</v>
      </c>
    </row>
    <row r="183" spans="22:25">
      <c r="V183" s="326" t="str">
        <f t="shared" si="11"/>
        <v>10100110</v>
      </c>
      <c r="W183" s="513">
        <v>166</v>
      </c>
      <c r="X183" s="537">
        <f t="shared" si="10"/>
        <v>65370</v>
      </c>
      <c r="Y183" s="99" t="str">
        <f t="shared" si="9"/>
        <v>1111111101011010</v>
      </c>
    </row>
    <row r="184" spans="22:25">
      <c r="V184" s="326" t="str">
        <f t="shared" si="11"/>
        <v>10100111</v>
      </c>
      <c r="W184" s="513">
        <v>167</v>
      </c>
      <c r="X184" s="537">
        <f t="shared" si="10"/>
        <v>65369</v>
      </c>
      <c r="Y184" s="99" t="str">
        <f t="shared" si="9"/>
        <v>1111111101011001</v>
      </c>
    </row>
    <row r="185" spans="22:25">
      <c r="V185" s="326" t="str">
        <f t="shared" si="11"/>
        <v>10101000</v>
      </c>
      <c r="W185" s="513">
        <v>168</v>
      </c>
      <c r="X185" s="537">
        <f t="shared" si="10"/>
        <v>65368</v>
      </c>
      <c r="Y185" s="99" t="str">
        <f t="shared" si="9"/>
        <v>1111111101011000</v>
      </c>
    </row>
    <row r="186" spans="22:25">
      <c r="V186" s="326" t="str">
        <f t="shared" si="11"/>
        <v>10101001</v>
      </c>
      <c r="W186" s="513">
        <v>169</v>
      </c>
      <c r="X186" s="537">
        <f t="shared" si="10"/>
        <v>65367</v>
      </c>
      <c r="Y186" s="99" t="str">
        <f t="shared" si="9"/>
        <v>1111111101010111</v>
      </c>
    </row>
    <row r="187" spans="22:25">
      <c r="V187" s="326" t="str">
        <f t="shared" si="11"/>
        <v>10101010</v>
      </c>
      <c r="W187" s="513">
        <v>170</v>
      </c>
      <c r="X187" s="537">
        <f t="shared" si="10"/>
        <v>65366</v>
      </c>
      <c r="Y187" s="99" t="str">
        <f t="shared" si="9"/>
        <v>1111111101010110</v>
      </c>
    </row>
    <row r="188" spans="22:25">
      <c r="V188" s="326" t="str">
        <f t="shared" si="11"/>
        <v>10101011</v>
      </c>
      <c r="W188" s="513">
        <v>171</v>
      </c>
      <c r="X188" s="537">
        <f t="shared" si="10"/>
        <v>65365</v>
      </c>
      <c r="Y188" s="99" t="str">
        <f t="shared" si="9"/>
        <v>1111111101010101</v>
      </c>
    </row>
    <row r="189" spans="22:25">
      <c r="V189" s="326" t="str">
        <f t="shared" si="11"/>
        <v>10101100</v>
      </c>
      <c r="W189" s="513">
        <v>172</v>
      </c>
      <c r="X189" s="537">
        <f t="shared" si="10"/>
        <v>65364</v>
      </c>
      <c r="Y189" s="99" t="str">
        <f t="shared" si="9"/>
        <v>1111111101010100</v>
      </c>
    </row>
    <row r="190" spans="22:25">
      <c r="V190" s="326" t="str">
        <f t="shared" si="11"/>
        <v>10101101</v>
      </c>
      <c r="W190" s="513">
        <v>173</v>
      </c>
      <c r="X190" s="537">
        <f t="shared" si="10"/>
        <v>65363</v>
      </c>
      <c r="Y190" s="99" t="str">
        <f t="shared" si="9"/>
        <v>1111111101010011</v>
      </c>
    </row>
    <row r="191" spans="22:25">
      <c r="V191" s="326" t="str">
        <f t="shared" si="11"/>
        <v>10101110</v>
      </c>
      <c r="W191" s="513">
        <v>174</v>
      </c>
      <c r="X191" s="537">
        <f t="shared" si="10"/>
        <v>65362</v>
      </c>
      <c r="Y191" s="99" t="str">
        <f t="shared" si="9"/>
        <v>1111111101010010</v>
      </c>
    </row>
    <row r="192" spans="22:25">
      <c r="V192" s="326" t="str">
        <f t="shared" si="11"/>
        <v>10101111</v>
      </c>
      <c r="W192" s="513">
        <v>175</v>
      </c>
      <c r="X192" s="537">
        <f t="shared" si="10"/>
        <v>65361</v>
      </c>
      <c r="Y192" s="99" t="str">
        <f t="shared" si="9"/>
        <v>1111111101010001</v>
      </c>
    </row>
    <row r="193" spans="22:25">
      <c r="V193" s="326" t="str">
        <f t="shared" si="11"/>
        <v>10110000</v>
      </c>
      <c r="W193" s="513">
        <v>176</v>
      </c>
      <c r="X193" s="537">
        <f t="shared" si="10"/>
        <v>65360</v>
      </c>
      <c r="Y193" s="99" t="str">
        <f t="shared" si="9"/>
        <v>1111111101010000</v>
      </c>
    </row>
    <row r="194" spans="22:25">
      <c r="V194" s="326" t="str">
        <f t="shared" si="11"/>
        <v>10110001</v>
      </c>
      <c r="W194" s="513">
        <v>177</v>
      </c>
      <c r="X194" s="537">
        <f t="shared" si="10"/>
        <v>65359</v>
      </c>
      <c r="Y194" s="99" t="str">
        <f t="shared" si="9"/>
        <v>1111111101001111</v>
      </c>
    </row>
    <row r="195" spans="22:25">
      <c r="V195" s="326" t="str">
        <f t="shared" si="11"/>
        <v>10110010</v>
      </c>
      <c r="W195" s="513">
        <v>178</v>
      </c>
      <c r="X195" s="537">
        <f t="shared" si="10"/>
        <v>65358</v>
      </c>
      <c r="Y195" s="99" t="str">
        <f t="shared" si="9"/>
        <v>1111111101001110</v>
      </c>
    </row>
    <row r="196" spans="22:25">
      <c r="V196" s="326" t="str">
        <f t="shared" si="11"/>
        <v>10110011</v>
      </c>
      <c r="W196" s="513">
        <v>179</v>
      </c>
      <c r="X196" s="537">
        <f t="shared" si="10"/>
        <v>65357</v>
      </c>
      <c r="Y196" s="99" t="str">
        <f t="shared" si="9"/>
        <v>1111111101001101</v>
      </c>
    </row>
    <row r="197" spans="22:25">
      <c r="V197" s="326" t="str">
        <f t="shared" si="11"/>
        <v>10110100</v>
      </c>
      <c r="W197" s="513">
        <v>180</v>
      </c>
      <c r="X197" s="537">
        <f t="shared" si="10"/>
        <v>65356</v>
      </c>
      <c r="Y197" s="99" t="str">
        <f t="shared" si="9"/>
        <v>1111111101001100</v>
      </c>
    </row>
    <row r="198" spans="22:25">
      <c r="V198" s="326" t="str">
        <f t="shared" si="11"/>
        <v>10110101</v>
      </c>
      <c r="W198" s="513">
        <v>181</v>
      </c>
      <c r="X198" s="537">
        <f t="shared" si="10"/>
        <v>65355</v>
      </c>
      <c r="Y198" s="99" t="str">
        <f t="shared" si="9"/>
        <v>1111111101001011</v>
      </c>
    </row>
    <row r="199" spans="22:25">
      <c r="V199" s="326" t="str">
        <f t="shared" si="11"/>
        <v>10110110</v>
      </c>
      <c r="W199" s="513">
        <v>182</v>
      </c>
      <c r="X199" s="537">
        <f t="shared" si="10"/>
        <v>65354</v>
      </c>
      <c r="Y199" s="99" t="str">
        <f t="shared" si="9"/>
        <v>1111111101001010</v>
      </c>
    </row>
    <row r="200" spans="22:25">
      <c r="V200" s="326" t="str">
        <f t="shared" si="11"/>
        <v>10110111</v>
      </c>
      <c r="W200" s="513">
        <v>183</v>
      </c>
      <c r="X200" s="537">
        <f t="shared" si="10"/>
        <v>65353</v>
      </c>
      <c r="Y200" s="99" t="str">
        <f t="shared" si="9"/>
        <v>1111111101001001</v>
      </c>
    </row>
    <row r="201" spans="22:25">
      <c r="V201" s="326" t="str">
        <f t="shared" si="11"/>
        <v>10111000</v>
      </c>
      <c r="W201" s="513">
        <v>184</v>
      </c>
      <c r="X201" s="537">
        <f t="shared" si="10"/>
        <v>65352</v>
      </c>
      <c r="Y201" s="99" t="str">
        <f t="shared" si="9"/>
        <v>1111111101001000</v>
      </c>
    </row>
    <row r="202" spans="22:25">
      <c r="V202" s="326" t="str">
        <f t="shared" si="11"/>
        <v>10111001</v>
      </c>
      <c r="W202" s="513">
        <v>185</v>
      </c>
      <c r="X202" s="537">
        <f t="shared" si="10"/>
        <v>65351</v>
      </c>
      <c r="Y202" s="99" t="str">
        <f t="shared" si="9"/>
        <v>1111111101000111</v>
      </c>
    </row>
    <row r="203" spans="22:25">
      <c r="V203" s="326" t="str">
        <f t="shared" si="11"/>
        <v>10111010</v>
      </c>
      <c r="W203" s="513">
        <v>186</v>
      </c>
      <c r="X203" s="537">
        <f t="shared" si="10"/>
        <v>65350</v>
      </c>
      <c r="Y203" s="99" t="str">
        <f t="shared" si="9"/>
        <v>1111111101000110</v>
      </c>
    </row>
    <row r="204" spans="22:25">
      <c r="V204" s="326" t="str">
        <f t="shared" si="11"/>
        <v>10111011</v>
      </c>
      <c r="W204" s="513">
        <v>187</v>
      </c>
      <c r="X204" s="537">
        <f t="shared" si="10"/>
        <v>65349</v>
      </c>
      <c r="Y204" s="99" t="str">
        <f t="shared" si="9"/>
        <v>1111111101000101</v>
      </c>
    </row>
    <row r="205" spans="22:25">
      <c r="V205" s="326" t="str">
        <f t="shared" si="11"/>
        <v>10111100</v>
      </c>
      <c r="W205" s="513">
        <v>188</v>
      </c>
      <c r="X205" s="537">
        <f t="shared" si="10"/>
        <v>65348</v>
      </c>
      <c r="Y205" s="99" t="str">
        <f t="shared" si="9"/>
        <v>1111111101000100</v>
      </c>
    </row>
    <row r="206" spans="22:25">
      <c r="V206" s="326" t="str">
        <f t="shared" si="11"/>
        <v>10111101</v>
      </c>
      <c r="W206" s="513">
        <v>189</v>
      </c>
      <c r="X206" s="537">
        <f t="shared" si="10"/>
        <v>65347</v>
      </c>
      <c r="Y206" s="99" t="str">
        <f t="shared" si="9"/>
        <v>1111111101000011</v>
      </c>
    </row>
    <row r="207" spans="22:25">
      <c r="V207" s="326" t="str">
        <f t="shared" si="11"/>
        <v>10111110</v>
      </c>
      <c r="W207" s="513">
        <v>190</v>
      </c>
      <c r="X207" s="537">
        <f t="shared" si="10"/>
        <v>65346</v>
      </c>
      <c r="Y207" s="99" t="str">
        <f t="shared" si="9"/>
        <v>1111111101000010</v>
      </c>
    </row>
    <row r="208" spans="22:25">
      <c r="V208" s="326" t="str">
        <f t="shared" si="11"/>
        <v>10111111</v>
      </c>
      <c r="W208" s="513">
        <v>191</v>
      </c>
      <c r="X208" s="537">
        <f t="shared" si="10"/>
        <v>65345</v>
      </c>
      <c r="Y208" s="99" t="str">
        <f t="shared" si="9"/>
        <v>1111111101000001</v>
      </c>
    </row>
    <row r="209" spans="22:25">
      <c r="V209" s="326" t="str">
        <f t="shared" si="11"/>
        <v>11000000</v>
      </c>
      <c r="W209" s="513">
        <v>192</v>
      </c>
      <c r="X209" s="537">
        <f t="shared" si="10"/>
        <v>65344</v>
      </c>
      <c r="Y209" s="99" t="str">
        <f t="shared" si="9"/>
        <v>1111111101000000</v>
      </c>
    </row>
    <row r="210" spans="22:25">
      <c r="V210" s="326" t="str">
        <f t="shared" si="11"/>
        <v>11000001</v>
      </c>
      <c r="W210" s="513">
        <v>193</v>
      </c>
      <c r="X210" s="537">
        <f t="shared" si="10"/>
        <v>65343</v>
      </c>
      <c r="Y210" s="99" t="str">
        <f t="shared" si="9"/>
        <v>1111111100111111</v>
      </c>
    </row>
    <row r="211" spans="22:25">
      <c r="V211" s="326" t="str">
        <f t="shared" si="11"/>
        <v>11000010</v>
      </c>
      <c r="W211" s="513">
        <v>194</v>
      </c>
      <c r="X211" s="537">
        <f t="shared" si="10"/>
        <v>65342</v>
      </c>
      <c r="Y211" s="99" t="str">
        <f t="shared" ref="Y211:Y272" si="12">DEC2BIN((X211)/256,8)&amp;DEC2BIN(MOD(X211,256),8)</f>
        <v>1111111100111110</v>
      </c>
    </row>
    <row r="212" spans="22:25">
      <c r="V212" s="326" t="str">
        <f t="shared" si="11"/>
        <v>11000011</v>
      </c>
      <c r="W212" s="513">
        <v>195</v>
      </c>
      <c r="X212" s="537">
        <f t="shared" ref="X212:X272" si="13">65536-W212</f>
        <v>65341</v>
      </c>
      <c r="Y212" s="99" t="str">
        <f t="shared" si="12"/>
        <v>1111111100111101</v>
      </c>
    </row>
    <row r="213" spans="22:25">
      <c r="V213" s="326" t="str">
        <f t="shared" ref="V213:V272" si="14">DEC2BIN(W213,8)</f>
        <v>11000100</v>
      </c>
      <c r="W213" s="513">
        <v>196</v>
      </c>
      <c r="X213" s="537">
        <f t="shared" si="13"/>
        <v>65340</v>
      </c>
      <c r="Y213" s="99" t="str">
        <f t="shared" si="12"/>
        <v>1111111100111100</v>
      </c>
    </row>
    <row r="214" spans="22:25">
      <c r="V214" s="326" t="str">
        <f t="shared" si="14"/>
        <v>11000101</v>
      </c>
      <c r="W214" s="513">
        <v>197</v>
      </c>
      <c r="X214" s="537">
        <f t="shared" si="13"/>
        <v>65339</v>
      </c>
      <c r="Y214" s="99" t="str">
        <f t="shared" si="12"/>
        <v>1111111100111011</v>
      </c>
    </row>
    <row r="215" spans="22:25">
      <c r="V215" s="326" t="str">
        <f t="shared" si="14"/>
        <v>11000110</v>
      </c>
      <c r="W215" s="513">
        <v>198</v>
      </c>
      <c r="X215" s="537">
        <f t="shared" si="13"/>
        <v>65338</v>
      </c>
      <c r="Y215" s="99" t="str">
        <f t="shared" si="12"/>
        <v>1111111100111010</v>
      </c>
    </row>
    <row r="216" spans="22:25">
      <c r="V216" s="326" t="str">
        <f t="shared" si="14"/>
        <v>11000111</v>
      </c>
      <c r="W216" s="513">
        <v>199</v>
      </c>
      <c r="X216" s="537">
        <f t="shared" si="13"/>
        <v>65337</v>
      </c>
      <c r="Y216" s="99" t="str">
        <f t="shared" si="12"/>
        <v>1111111100111001</v>
      </c>
    </row>
    <row r="217" spans="22:25">
      <c r="V217" s="326" t="str">
        <f t="shared" si="14"/>
        <v>11001000</v>
      </c>
      <c r="W217" s="513">
        <v>200</v>
      </c>
      <c r="X217" s="537">
        <f t="shared" si="13"/>
        <v>65336</v>
      </c>
      <c r="Y217" s="99" t="str">
        <f t="shared" si="12"/>
        <v>1111111100111000</v>
      </c>
    </row>
    <row r="218" spans="22:25">
      <c r="V218" s="326" t="str">
        <f t="shared" si="14"/>
        <v>11001001</v>
      </c>
      <c r="W218" s="513">
        <v>201</v>
      </c>
      <c r="X218" s="537">
        <f t="shared" si="13"/>
        <v>65335</v>
      </c>
      <c r="Y218" s="99" t="str">
        <f t="shared" si="12"/>
        <v>1111111100110111</v>
      </c>
    </row>
    <row r="219" spans="22:25">
      <c r="V219" s="326" t="str">
        <f t="shared" si="14"/>
        <v>11001010</v>
      </c>
      <c r="W219" s="513">
        <v>202</v>
      </c>
      <c r="X219" s="537">
        <f t="shared" si="13"/>
        <v>65334</v>
      </c>
      <c r="Y219" s="99" t="str">
        <f t="shared" si="12"/>
        <v>1111111100110110</v>
      </c>
    </row>
    <row r="220" spans="22:25">
      <c r="V220" s="326" t="str">
        <f t="shared" si="14"/>
        <v>11001011</v>
      </c>
      <c r="W220" s="513">
        <v>203</v>
      </c>
      <c r="X220" s="537">
        <f t="shared" si="13"/>
        <v>65333</v>
      </c>
      <c r="Y220" s="99" t="str">
        <f t="shared" si="12"/>
        <v>1111111100110101</v>
      </c>
    </row>
    <row r="221" spans="22:25">
      <c r="V221" s="326" t="str">
        <f t="shared" si="14"/>
        <v>11001100</v>
      </c>
      <c r="W221" s="513">
        <v>204</v>
      </c>
      <c r="X221" s="537">
        <f t="shared" si="13"/>
        <v>65332</v>
      </c>
      <c r="Y221" s="99" t="str">
        <f t="shared" si="12"/>
        <v>1111111100110100</v>
      </c>
    </row>
    <row r="222" spans="22:25">
      <c r="V222" s="326" t="str">
        <f t="shared" si="14"/>
        <v>11001101</v>
      </c>
      <c r="W222" s="513">
        <v>205</v>
      </c>
      <c r="X222" s="537">
        <f t="shared" si="13"/>
        <v>65331</v>
      </c>
      <c r="Y222" s="99" t="str">
        <f t="shared" si="12"/>
        <v>1111111100110011</v>
      </c>
    </row>
    <row r="223" spans="22:25">
      <c r="V223" s="326" t="str">
        <f t="shared" si="14"/>
        <v>11001110</v>
      </c>
      <c r="W223" s="513">
        <v>206</v>
      </c>
      <c r="X223" s="537">
        <f t="shared" si="13"/>
        <v>65330</v>
      </c>
      <c r="Y223" s="99" t="str">
        <f t="shared" si="12"/>
        <v>1111111100110010</v>
      </c>
    </row>
    <row r="224" spans="22:25">
      <c r="V224" s="326" t="str">
        <f t="shared" si="14"/>
        <v>11001111</v>
      </c>
      <c r="W224" s="513">
        <v>207</v>
      </c>
      <c r="X224" s="537">
        <f t="shared" si="13"/>
        <v>65329</v>
      </c>
      <c r="Y224" s="99" t="str">
        <f t="shared" si="12"/>
        <v>1111111100110001</v>
      </c>
    </row>
    <row r="225" spans="22:25">
      <c r="V225" s="326" t="str">
        <f t="shared" si="14"/>
        <v>11010000</v>
      </c>
      <c r="W225" s="513">
        <v>208</v>
      </c>
      <c r="X225" s="537">
        <f t="shared" si="13"/>
        <v>65328</v>
      </c>
      <c r="Y225" s="99" t="str">
        <f t="shared" si="12"/>
        <v>1111111100110000</v>
      </c>
    </row>
    <row r="226" spans="22:25">
      <c r="V226" s="326" t="str">
        <f t="shared" si="14"/>
        <v>11010001</v>
      </c>
      <c r="W226" s="513">
        <v>209</v>
      </c>
      <c r="X226" s="537">
        <f t="shared" si="13"/>
        <v>65327</v>
      </c>
      <c r="Y226" s="99" t="str">
        <f t="shared" si="12"/>
        <v>1111111100101111</v>
      </c>
    </row>
    <row r="227" spans="22:25">
      <c r="V227" s="326" t="str">
        <f t="shared" si="14"/>
        <v>11010010</v>
      </c>
      <c r="W227" s="513">
        <v>210</v>
      </c>
      <c r="X227" s="537">
        <f t="shared" si="13"/>
        <v>65326</v>
      </c>
      <c r="Y227" s="99" t="str">
        <f t="shared" si="12"/>
        <v>1111111100101110</v>
      </c>
    </row>
    <row r="228" spans="22:25">
      <c r="V228" s="326" t="str">
        <f t="shared" si="14"/>
        <v>11010011</v>
      </c>
      <c r="W228" s="513">
        <v>211</v>
      </c>
      <c r="X228" s="537">
        <f t="shared" si="13"/>
        <v>65325</v>
      </c>
      <c r="Y228" s="99" t="str">
        <f t="shared" si="12"/>
        <v>1111111100101101</v>
      </c>
    </row>
    <row r="229" spans="22:25">
      <c r="V229" s="326" t="str">
        <f t="shared" si="14"/>
        <v>11010100</v>
      </c>
      <c r="W229" s="513">
        <v>212</v>
      </c>
      <c r="X229" s="537">
        <f t="shared" si="13"/>
        <v>65324</v>
      </c>
      <c r="Y229" s="99" t="str">
        <f t="shared" si="12"/>
        <v>1111111100101100</v>
      </c>
    </row>
    <row r="230" spans="22:25">
      <c r="V230" s="326" t="str">
        <f t="shared" si="14"/>
        <v>11010101</v>
      </c>
      <c r="W230" s="513">
        <v>213</v>
      </c>
      <c r="X230" s="537">
        <f t="shared" si="13"/>
        <v>65323</v>
      </c>
      <c r="Y230" s="99" t="str">
        <f t="shared" si="12"/>
        <v>1111111100101011</v>
      </c>
    </row>
    <row r="231" spans="22:25">
      <c r="V231" s="326" t="str">
        <f t="shared" si="14"/>
        <v>11010110</v>
      </c>
      <c r="W231" s="513">
        <v>214</v>
      </c>
      <c r="X231" s="537">
        <f t="shared" si="13"/>
        <v>65322</v>
      </c>
      <c r="Y231" s="99" t="str">
        <f t="shared" si="12"/>
        <v>1111111100101010</v>
      </c>
    </row>
    <row r="232" spans="22:25">
      <c r="V232" s="326" t="str">
        <f t="shared" si="14"/>
        <v>11010111</v>
      </c>
      <c r="W232" s="513">
        <v>215</v>
      </c>
      <c r="X232" s="537">
        <f t="shared" si="13"/>
        <v>65321</v>
      </c>
      <c r="Y232" s="99" t="str">
        <f t="shared" si="12"/>
        <v>1111111100101001</v>
      </c>
    </row>
    <row r="233" spans="22:25">
      <c r="V233" s="326" t="str">
        <f t="shared" si="14"/>
        <v>11011000</v>
      </c>
      <c r="W233" s="513">
        <v>216</v>
      </c>
      <c r="X233" s="537">
        <f t="shared" si="13"/>
        <v>65320</v>
      </c>
      <c r="Y233" s="99" t="str">
        <f t="shared" si="12"/>
        <v>1111111100101000</v>
      </c>
    </row>
    <row r="234" spans="22:25">
      <c r="V234" s="326" t="str">
        <f t="shared" si="14"/>
        <v>11011001</v>
      </c>
      <c r="W234" s="513">
        <v>217</v>
      </c>
      <c r="X234" s="537">
        <f t="shared" si="13"/>
        <v>65319</v>
      </c>
      <c r="Y234" s="99" t="str">
        <f t="shared" si="12"/>
        <v>1111111100100111</v>
      </c>
    </row>
    <row r="235" spans="22:25">
      <c r="V235" s="326" t="str">
        <f t="shared" si="14"/>
        <v>11011010</v>
      </c>
      <c r="W235" s="513">
        <v>218</v>
      </c>
      <c r="X235" s="537">
        <f t="shared" si="13"/>
        <v>65318</v>
      </c>
      <c r="Y235" s="99" t="str">
        <f t="shared" si="12"/>
        <v>1111111100100110</v>
      </c>
    </row>
    <row r="236" spans="22:25">
      <c r="V236" s="326" t="str">
        <f t="shared" si="14"/>
        <v>11011011</v>
      </c>
      <c r="W236" s="513">
        <v>219</v>
      </c>
      <c r="X236" s="537">
        <f t="shared" si="13"/>
        <v>65317</v>
      </c>
      <c r="Y236" s="99" t="str">
        <f t="shared" si="12"/>
        <v>1111111100100101</v>
      </c>
    </row>
    <row r="237" spans="22:25">
      <c r="V237" s="326" t="str">
        <f t="shared" si="14"/>
        <v>11011100</v>
      </c>
      <c r="W237" s="513">
        <v>220</v>
      </c>
      <c r="X237" s="537">
        <f t="shared" si="13"/>
        <v>65316</v>
      </c>
      <c r="Y237" s="99" t="str">
        <f t="shared" si="12"/>
        <v>1111111100100100</v>
      </c>
    </row>
    <row r="238" spans="22:25">
      <c r="V238" s="326" t="str">
        <f t="shared" si="14"/>
        <v>11011101</v>
      </c>
      <c r="W238" s="513">
        <v>221</v>
      </c>
      <c r="X238" s="537">
        <f t="shared" si="13"/>
        <v>65315</v>
      </c>
      <c r="Y238" s="99" t="str">
        <f t="shared" si="12"/>
        <v>1111111100100011</v>
      </c>
    </row>
    <row r="239" spans="22:25">
      <c r="V239" s="326" t="str">
        <f t="shared" si="14"/>
        <v>11011110</v>
      </c>
      <c r="W239" s="513">
        <v>222</v>
      </c>
      <c r="X239" s="537">
        <f t="shared" si="13"/>
        <v>65314</v>
      </c>
      <c r="Y239" s="99" t="str">
        <f t="shared" si="12"/>
        <v>1111111100100010</v>
      </c>
    </row>
    <row r="240" spans="22:25">
      <c r="V240" s="326" t="str">
        <f t="shared" si="14"/>
        <v>11011111</v>
      </c>
      <c r="W240" s="513">
        <v>223</v>
      </c>
      <c r="X240" s="537">
        <f t="shared" si="13"/>
        <v>65313</v>
      </c>
      <c r="Y240" s="99" t="str">
        <f t="shared" si="12"/>
        <v>1111111100100001</v>
      </c>
    </row>
    <row r="241" spans="22:25">
      <c r="V241" s="326" t="str">
        <f t="shared" si="14"/>
        <v>11100000</v>
      </c>
      <c r="W241" s="513">
        <v>224</v>
      </c>
      <c r="X241" s="537">
        <f t="shared" si="13"/>
        <v>65312</v>
      </c>
      <c r="Y241" s="99" t="str">
        <f t="shared" si="12"/>
        <v>1111111100100000</v>
      </c>
    </row>
    <row r="242" spans="22:25">
      <c r="V242" s="326" t="str">
        <f t="shared" si="14"/>
        <v>11100001</v>
      </c>
      <c r="W242" s="513">
        <v>225</v>
      </c>
      <c r="X242" s="537">
        <f t="shared" si="13"/>
        <v>65311</v>
      </c>
      <c r="Y242" s="99" t="str">
        <f t="shared" si="12"/>
        <v>1111111100011111</v>
      </c>
    </row>
    <row r="243" spans="22:25">
      <c r="V243" s="326" t="str">
        <f t="shared" si="14"/>
        <v>11100010</v>
      </c>
      <c r="W243" s="513">
        <v>226</v>
      </c>
      <c r="X243" s="537">
        <f t="shared" si="13"/>
        <v>65310</v>
      </c>
      <c r="Y243" s="99" t="str">
        <f t="shared" si="12"/>
        <v>1111111100011110</v>
      </c>
    </row>
    <row r="244" spans="22:25">
      <c r="V244" s="326" t="str">
        <f t="shared" si="14"/>
        <v>11100011</v>
      </c>
      <c r="W244" s="513">
        <v>227</v>
      </c>
      <c r="X244" s="537">
        <f t="shared" si="13"/>
        <v>65309</v>
      </c>
      <c r="Y244" s="99" t="str">
        <f t="shared" si="12"/>
        <v>1111111100011101</v>
      </c>
    </row>
    <row r="245" spans="22:25">
      <c r="V245" s="326" t="str">
        <f t="shared" si="14"/>
        <v>11100100</v>
      </c>
      <c r="W245" s="513">
        <v>228</v>
      </c>
      <c r="X245" s="537">
        <f t="shared" si="13"/>
        <v>65308</v>
      </c>
      <c r="Y245" s="99" t="str">
        <f t="shared" si="12"/>
        <v>1111111100011100</v>
      </c>
    </row>
    <row r="246" spans="22:25">
      <c r="V246" s="326" t="str">
        <f t="shared" si="14"/>
        <v>11100101</v>
      </c>
      <c r="W246" s="513">
        <v>229</v>
      </c>
      <c r="X246" s="537">
        <f t="shared" si="13"/>
        <v>65307</v>
      </c>
      <c r="Y246" s="99" t="str">
        <f t="shared" si="12"/>
        <v>1111111100011011</v>
      </c>
    </row>
    <row r="247" spans="22:25">
      <c r="V247" s="326" t="str">
        <f t="shared" si="14"/>
        <v>11100110</v>
      </c>
      <c r="W247" s="513">
        <v>230</v>
      </c>
      <c r="X247" s="537">
        <f t="shared" si="13"/>
        <v>65306</v>
      </c>
      <c r="Y247" s="99" t="str">
        <f t="shared" si="12"/>
        <v>1111111100011010</v>
      </c>
    </row>
    <row r="248" spans="22:25">
      <c r="V248" s="326" t="str">
        <f t="shared" si="14"/>
        <v>11100111</v>
      </c>
      <c r="W248" s="513">
        <v>231</v>
      </c>
      <c r="X248" s="537">
        <f t="shared" si="13"/>
        <v>65305</v>
      </c>
      <c r="Y248" s="99" t="str">
        <f t="shared" si="12"/>
        <v>1111111100011001</v>
      </c>
    </row>
    <row r="249" spans="22:25">
      <c r="V249" s="326" t="str">
        <f t="shared" si="14"/>
        <v>11101000</v>
      </c>
      <c r="W249" s="513">
        <v>232</v>
      </c>
      <c r="X249" s="537">
        <f t="shared" si="13"/>
        <v>65304</v>
      </c>
      <c r="Y249" s="99" t="str">
        <f t="shared" si="12"/>
        <v>1111111100011000</v>
      </c>
    </row>
    <row r="250" spans="22:25">
      <c r="V250" s="326" t="str">
        <f t="shared" si="14"/>
        <v>11101001</v>
      </c>
      <c r="W250" s="513">
        <v>233</v>
      </c>
      <c r="X250" s="537">
        <f t="shared" si="13"/>
        <v>65303</v>
      </c>
      <c r="Y250" s="99" t="str">
        <f t="shared" si="12"/>
        <v>1111111100010111</v>
      </c>
    </row>
    <row r="251" spans="22:25">
      <c r="V251" s="326" t="str">
        <f t="shared" si="14"/>
        <v>11101010</v>
      </c>
      <c r="W251" s="513">
        <v>234</v>
      </c>
      <c r="X251" s="537">
        <f t="shared" si="13"/>
        <v>65302</v>
      </c>
      <c r="Y251" s="99" t="str">
        <f t="shared" si="12"/>
        <v>1111111100010110</v>
      </c>
    </row>
    <row r="252" spans="22:25">
      <c r="V252" s="326" t="str">
        <f t="shared" si="14"/>
        <v>11101011</v>
      </c>
      <c r="W252" s="513">
        <v>235</v>
      </c>
      <c r="X252" s="537">
        <f t="shared" si="13"/>
        <v>65301</v>
      </c>
      <c r="Y252" s="99" t="str">
        <f t="shared" si="12"/>
        <v>1111111100010101</v>
      </c>
    </row>
    <row r="253" spans="22:25">
      <c r="V253" s="326" t="str">
        <f t="shared" si="14"/>
        <v>11101100</v>
      </c>
      <c r="W253" s="513">
        <v>236</v>
      </c>
      <c r="X253" s="537">
        <f t="shared" si="13"/>
        <v>65300</v>
      </c>
      <c r="Y253" s="99" t="str">
        <f t="shared" si="12"/>
        <v>1111111100010100</v>
      </c>
    </row>
    <row r="254" spans="22:25">
      <c r="V254" s="326" t="str">
        <f t="shared" si="14"/>
        <v>11101101</v>
      </c>
      <c r="W254" s="513">
        <v>237</v>
      </c>
      <c r="X254" s="537">
        <f t="shared" si="13"/>
        <v>65299</v>
      </c>
      <c r="Y254" s="99" t="str">
        <f t="shared" si="12"/>
        <v>1111111100010011</v>
      </c>
    </row>
    <row r="255" spans="22:25">
      <c r="V255" s="326" t="str">
        <f t="shared" si="14"/>
        <v>11101110</v>
      </c>
      <c r="W255" s="513">
        <v>238</v>
      </c>
      <c r="X255" s="537">
        <f t="shared" si="13"/>
        <v>65298</v>
      </c>
      <c r="Y255" s="99" t="str">
        <f t="shared" si="12"/>
        <v>1111111100010010</v>
      </c>
    </row>
    <row r="256" spans="22:25">
      <c r="V256" s="326" t="str">
        <f t="shared" si="14"/>
        <v>11101111</v>
      </c>
      <c r="W256" s="513">
        <v>239</v>
      </c>
      <c r="X256" s="537">
        <f t="shared" si="13"/>
        <v>65297</v>
      </c>
      <c r="Y256" s="99" t="str">
        <f t="shared" si="12"/>
        <v>1111111100010001</v>
      </c>
    </row>
    <row r="257" spans="22:25">
      <c r="V257" s="326" t="str">
        <f t="shared" si="14"/>
        <v>11110000</v>
      </c>
      <c r="W257" s="513">
        <v>240</v>
      </c>
      <c r="X257" s="537">
        <f t="shared" si="13"/>
        <v>65296</v>
      </c>
      <c r="Y257" s="99" t="str">
        <f t="shared" si="12"/>
        <v>1111111100010000</v>
      </c>
    </row>
    <row r="258" spans="22:25">
      <c r="V258" s="326" t="str">
        <f t="shared" si="14"/>
        <v>11110001</v>
      </c>
      <c r="W258" s="513">
        <v>241</v>
      </c>
      <c r="X258" s="537">
        <f t="shared" si="13"/>
        <v>65295</v>
      </c>
      <c r="Y258" s="99" t="str">
        <f t="shared" si="12"/>
        <v>1111111100001111</v>
      </c>
    </row>
    <row r="259" spans="22:25">
      <c r="V259" s="326" t="str">
        <f t="shared" si="14"/>
        <v>11110010</v>
      </c>
      <c r="W259" s="513">
        <v>242</v>
      </c>
      <c r="X259" s="537">
        <f t="shared" si="13"/>
        <v>65294</v>
      </c>
      <c r="Y259" s="99" t="str">
        <f t="shared" si="12"/>
        <v>1111111100001110</v>
      </c>
    </row>
    <row r="260" spans="22:25">
      <c r="V260" s="326" t="str">
        <f t="shared" si="14"/>
        <v>11110011</v>
      </c>
      <c r="W260" s="513">
        <v>243</v>
      </c>
      <c r="X260" s="537">
        <f t="shared" si="13"/>
        <v>65293</v>
      </c>
      <c r="Y260" s="99" t="str">
        <f t="shared" si="12"/>
        <v>1111111100001101</v>
      </c>
    </row>
    <row r="261" spans="22:25">
      <c r="V261" s="326" t="str">
        <f t="shared" si="14"/>
        <v>11110100</v>
      </c>
      <c r="W261" s="513">
        <v>244</v>
      </c>
      <c r="X261" s="537">
        <f t="shared" si="13"/>
        <v>65292</v>
      </c>
      <c r="Y261" s="99" t="str">
        <f t="shared" si="12"/>
        <v>1111111100001100</v>
      </c>
    </row>
    <row r="262" spans="22:25">
      <c r="V262" s="326" t="str">
        <f t="shared" si="14"/>
        <v>11110101</v>
      </c>
      <c r="W262" s="513">
        <v>245</v>
      </c>
      <c r="X262" s="537">
        <f t="shared" si="13"/>
        <v>65291</v>
      </c>
      <c r="Y262" s="99" t="str">
        <f t="shared" si="12"/>
        <v>1111111100001011</v>
      </c>
    </row>
    <row r="263" spans="22:25">
      <c r="V263" s="326" t="str">
        <f t="shared" si="14"/>
        <v>11110110</v>
      </c>
      <c r="W263" s="513">
        <v>246</v>
      </c>
      <c r="X263" s="537">
        <f t="shared" si="13"/>
        <v>65290</v>
      </c>
      <c r="Y263" s="99" t="str">
        <f t="shared" si="12"/>
        <v>1111111100001010</v>
      </c>
    </row>
    <row r="264" spans="22:25">
      <c r="V264" s="326" t="str">
        <f t="shared" si="14"/>
        <v>11110111</v>
      </c>
      <c r="W264" s="513">
        <v>247</v>
      </c>
      <c r="X264" s="537">
        <f t="shared" si="13"/>
        <v>65289</v>
      </c>
      <c r="Y264" s="99" t="str">
        <f t="shared" si="12"/>
        <v>1111111100001001</v>
      </c>
    </row>
    <row r="265" spans="22:25">
      <c r="V265" s="326" t="str">
        <f t="shared" si="14"/>
        <v>11111000</v>
      </c>
      <c r="W265" s="513">
        <v>248</v>
      </c>
      <c r="X265" s="537">
        <f t="shared" si="13"/>
        <v>65288</v>
      </c>
      <c r="Y265" s="99" t="str">
        <f t="shared" si="12"/>
        <v>1111111100001000</v>
      </c>
    </row>
    <row r="266" spans="22:25">
      <c r="V266" s="326" t="str">
        <f t="shared" si="14"/>
        <v>11111001</v>
      </c>
      <c r="W266" s="513">
        <v>249</v>
      </c>
      <c r="X266" s="537">
        <f t="shared" si="13"/>
        <v>65287</v>
      </c>
      <c r="Y266" s="99" t="str">
        <f t="shared" si="12"/>
        <v>1111111100000111</v>
      </c>
    </row>
    <row r="267" spans="22:25">
      <c r="V267" s="326" t="str">
        <f t="shared" si="14"/>
        <v>11111010</v>
      </c>
      <c r="W267" s="513">
        <v>250</v>
      </c>
      <c r="X267" s="537">
        <f t="shared" si="13"/>
        <v>65286</v>
      </c>
      <c r="Y267" s="99" t="str">
        <f t="shared" si="12"/>
        <v>1111111100000110</v>
      </c>
    </row>
    <row r="268" spans="22:25">
      <c r="V268" s="326" t="str">
        <f t="shared" si="14"/>
        <v>11111011</v>
      </c>
      <c r="W268" s="513">
        <v>251</v>
      </c>
      <c r="X268" s="537">
        <f t="shared" si="13"/>
        <v>65285</v>
      </c>
      <c r="Y268" s="99" t="str">
        <f t="shared" si="12"/>
        <v>1111111100000101</v>
      </c>
    </row>
    <row r="269" spans="22:25">
      <c r="V269" s="326" t="str">
        <f t="shared" si="14"/>
        <v>11111100</v>
      </c>
      <c r="W269" s="513">
        <v>252</v>
      </c>
      <c r="X269" s="537">
        <f t="shared" si="13"/>
        <v>65284</v>
      </c>
      <c r="Y269" s="99" t="str">
        <f t="shared" si="12"/>
        <v>1111111100000100</v>
      </c>
    </row>
    <row r="270" spans="22:25">
      <c r="V270" s="326" t="str">
        <f t="shared" si="14"/>
        <v>11111101</v>
      </c>
      <c r="W270" s="513">
        <v>253</v>
      </c>
      <c r="X270" s="537">
        <f t="shared" si="13"/>
        <v>65283</v>
      </c>
      <c r="Y270" s="99" t="str">
        <f t="shared" si="12"/>
        <v>1111111100000011</v>
      </c>
    </row>
    <row r="271" spans="22:25">
      <c r="V271" s="326" t="str">
        <f t="shared" si="14"/>
        <v>11111110</v>
      </c>
      <c r="W271" s="513">
        <v>254</v>
      </c>
      <c r="X271" s="537">
        <f t="shared" si="13"/>
        <v>65282</v>
      </c>
      <c r="Y271" s="99" t="str">
        <f t="shared" si="12"/>
        <v>1111111100000010</v>
      </c>
    </row>
    <row r="272" spans="22:25">
      <c r="V272" s="326" t="str">
        <f t="shared" si="14"/>
        <v>11111111</v>
      </c>
      <c r="W272" s="513">
        <v>255</v>
      </c>
      <c r="X272" s="537">
        <f t="shared" si="13"/>
        <v>65281</v>
      </c>
      <c r="Y272" s="99" t="str">
        <f t="shared" si="12"/>
        <v>1111111100000001</v>
      </c>
    </row>
  </sheetData>
  <sheetProtection password="C9A7" sheet="1" objects="1" scenarios="1"/>
  <mergeCells count="8">
    <mergeCell ref="D13:K13"/>
    <mergeCell ref="M13:T13"/>
    <mergeCell ref="M5:T5"/>
    <mergeCell ref="D5:K5"/>
    <mergeCell ref="D4:K4"/>
    <mergeCell ref="M4:T4"/>
    <mergeCell ref="D9:K9"/>
    <mergeCell ref="M9:T9"/>
  </mergeCells>
  <conditionalFormatting sqref="D12">
    <cfRule type="cellIs" dxfId="1" priority="2" operator="equal">
      <formula>"1"</formula>
    </cfRule>
  </conditionalFormatting>
  <conditionalFormatting sqref="D7">
    <cfRule type="cellIs" dxfId="0" priority="1" operator="equal">
      <formula>1</formula>
    </cfRule>
  </conditionalFormatting>
  <dataValidations disablePrompts="1" count="1">
    <dataValidation type="decimal" allowBlank="1" showInputMessage="1" showErrorMessage="1" errorTitle="Valeur Logique INCORRECTE !" error="Seuls les états &quot;0&quot; et &quot;1&quot; sont autorisés !" sqref="D7:K7 M7:T7">
      <formula1>0</formula1>
      <formula2>1</formula2>
    </dataValidation>
  </dataValidations>
  <pageMargins left="0.7" right="0.7" top="0.75" bottom="0.75" header="0.3" footer="0.3"/>
  <pageSetup paperSize="9" orientation="portrait" verticalDpi="0" r:id="rId1"/>
  <ignoredErrors>
    <ignoredError sqref="V11"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3</vt:i4>
      </vt:variant>
    </vt:vector>
  </HeadingPairs>
  <TitlesOfParts>
    <vt:vector size="17" baseType="lpstr">
      <vt:lpstr>Registres</vt:lpstr>
      <vt:lpstr>CONFIG </vt:lpstr>
      <vt:lpstr>ADC Convert</vt:lpstr>
      <vt:lpstr>Full Scale</vt:lpstr>
      <vt:lpstr>PGA Scale</vt:lpstr>
      <vt:lpstr>Picaxe Forum1</vt:lpstr>
      <vt:lpstr>TMP37</vt:lpstr>
      <vt:lpstr>TMP36</vt:lpstr>
      <vt:lpstr>Compl2_0</vt:lpstr>
      <vt:lpstr>Compl2_1</vt:lpstr>
      <vt:lpstr>Compl2_2</vt:lpstr>
      <vt:lpstr>16bits</vt:lpstr>
      <vt:lpstr>Draw1</vt:lpstr>
      <vt:lpstr>Draw2</vt:lpstr>
      <vt:lpstr>'ADC Convert'!Zone_d_impression</vt:lpstr>
      <vt:lpstr>'CONFIG '!Zone_d_impression</vt:lpstr>
      <vt:lpstr>'TMP37'!Zone_d_impression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RGL</dc:creator>
  <cp:lastModifiedBy>RGL</cp:lastModifiedBy>
  <cp:lastPrinted>2020-02-08T12:16:06Z</cp:lastPrinted>
  <dcterms:created xsi:type="dcterms:W3CDTF">2019-06-11T17:44:02Z</dcterms:created>
  <dcterms:modified xsi:type="dcterms:W3CDTF">2020-03-04T21:59:03Z</dcterms:modified>
</cp:coreProperties>
</file>